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315" windowHeight="12240" activeTab="0"/>
  </bookViews>
  <sheets>
    <sheet name="2020-2022 год Приложение 3" sheetId="1" r:id="rId1"/>
    <sheet name="2020-2022 год Приложение  4" sheetId="2" r:id="rId2"/>
  </sheets>
  <definedNames>
    <definedName name="_xlnm._FilterDatabase" localSheetId="1" hidden="1">'2020-2022 год Приложение  4'!$A$14:$I$500</definedName>
    <definedName name="_xlnm._FilterDatabase" localSheetId="0" hidden="1">'2020-2022 год Приложение 3'!$A$14:$H$461</definedName>
    <definedName name="Z_00A17BE8_878F_44C0_BEBD_D447448DEF61_.wvu.FilterData" localSheetId="1" hidden="1">'2020-2022 год Приложение  4'!$A$15:$I$490</definedName>
    <definedName name="Z_00A17BE8_878F_44C0_BEBD_D447448DEF61_.wvu.FilterData" localSheetId="0" hidden="1">'2020-2022 год Приложение 3'!$A$15:$H$458</definedName>
    <definedName name="Z_0367B446_25B3_4CB0_AE8F_F56EFA9F0138_.wvu.FilterData" localSheetId="1" hidden="1">'2020-2022 год Приложение  4'!$A$15:$I$490</definedName>
    <definedName name="Z_03B9FC11_D718_472C_9325_658176A1E393_.wvu.FilterData" localSheetId="1" hidden="1">'2020-2022 год Приложение  4'!$A$15:$D$490</definedName>
    <definedName name="Z_05436EAD_0453_445C_AAB7_9532A20E8C45_.wvu.FilterData" localSheetId="1" hidden="1">'2020-2022 год Приложение  4'!$A$14:$I$490</definedName>
    <definedName name="Z_05436EAD_0453_445C_AAB7_9532A20E8C45_.wvu.FilterData" localSheetId="0" hidden="1">'2020-2022 год Приложение 3'!$A$14:$H$458</definedName>
    <definedName name="Z_05D8F9CD_8123_4AE2_99C0_5A7FA7BF4315_.wvu.FilterData" localSheetId="0" hidden="1">'2020-2022 год Приложение 3'!$A$14:$H$461</definedName>
    <definedName name="Z_0611EAFC_9422_4811_9743_8B6BCB95CC92_.wvu.FilterData" localSheetId="1" hidden="1">'2020-2022 год Приложение  4'!$A$14:$I$500</definedName>
    <definedName name="Z_063D0829_F066_4FFA_8D5C_E3787B171893_.wvu.FilterData" localSheetId="1" hidden="1">'2020-2022 год Приложение  4'!$A$15:$D$490</definedName>
    <definedName name="Z_063D0829_F066_4FFA_8D5C_E3787B171893_.wvu.FilterData" localSheetId="0" hidden="1">'2020-2022 год Приложение 3'!$A$14:$H$458</definedName>
    <definedName name="Z_06D77FE4_C06B_41FC_A188_543D8830905B_.wvu.FilterData" localSheetId="1" hidden="1">'2020-2022 год Приложение  4'!$A$14:$I$499</definedName>
    <definedName name="Z_0716348E_E5A1_49BF_9EA9_22865FC05A43_.wvu.FilterData" localSheetId="1" hidden="1">'2020-2022 год Приложение  4'!$A$15:$D$490</definedName>
    <definedName name="Z_09314010_6A21_4750_99BD_9347C651DB63_.wvu.FilterData" localSheetId="1" hidden="1">'2020-2022 год Приложение  4'!$A$15:$D$490</definedName>
    <definedName name="Z_0B09F77D_C89D_4A80_BFA9_4E1A7303ACDC_.wvu.FilterData" localSheetId="1" hidden="1">'2020-2022 год Приложение  4'!$A$15:$I$499</definedName>
    <definedName name="Z_0B09F77D_C89D_4A80_BFA9_4E1A7303ACDC_.wvu.FilterData" localSheetId="0" hidden="1">'2020-2022 год Приложение 3'!$A$15:$H$461</definedName>
    <definedName name="Z_0CFE7E40_53CB_4F78_8BC0_30B076713ABD_.wvu.FilterData" localSheetId="0" hidden="1">'2020-2022 год Приложение 3'!$A$15:$H$458</definedName>
    <definedName name="Z_0DDB39B5_DF79_4E3E_A133_C1DF74513EC4_.wvu.FilterData" localSheetId="1" hidden="1">'2020-2022 год Приложение  4'!$A$14:$I$499</definedName>
    <definedName name="Z_0DDB39B5_DF79_4E3E_A133_C1DF74513EC4_.wvu.FilterData" localSheetId="0" hidden="1">'2020-2022 год Приложение 3'!$A$14:$H$461</definedName>
    <definedName name="Z_0E10038A_98B5_41B6_8A52_E077AEBE24CB_.wvu.FilterData" localSheetId="1" hidden="1">'2020-2022 год Приложение  4'!$A$15:$I$490</definedName>
    <definedName name="Z_0EADD6BE_EB23_4F9F_B827_EC6BFE182CB1_.wvu.FilterData" localSheetId="0" hidden="1">'2020-2022 год Приложение 3'!$A$15:$H$458</definedName>
    <definedName name="Z_0EE3EDD7_0780_4555_BA38_4F54A9D92404_.wvu.FilterData" localSheetId="1" hidden="1">'2020-2022 год Приложение  4'!$A$15:$D$490</definedName>
    <definedName name="Z_0FCE94B1_9002_477B_B2E5_4184A7822AB9_.wvu.FilterData" localSheetId="1" hidden="1">'2020-2022 год Приложение  4'!$A$15:$D$490</definedName>
    <definedName name="Z_106C71B4_8745_4E3A_981C_439BE26187CB_.wvu.FilterData" localSheetId="1" hidden="1">'2020-2022 год Приложение  4'!$A$14:$I$500</definedName>
    <definedName name="Z_13268BAB_D594_46C0_B471_B32C252007A8_.wvu.FilterData" localSheetId="0" hidden="1">'2020-2022 год Приложение 3'!$A$15:$H$458</definedName>
    <definedName name="Z_13A5336D_CAB2_4461_BF67_1FCAB741CB2E_.wvu.FilterData" localSheetId="1" hidden="1">'2020-2022 год Приложение  4'!$A$15:$I$490</definedName>
    <definedName name="Z_13B1D33E_575E_47E1_B1E7_E0E9D6FF2CB6_.wvu.FilterData" localSheetId="1" hidden="1">'2020-2022 год Приложение  4'!$A$15:$I$490</definedName>
    <definedName name="Z_13B1D33E_575E_47E1_B1E7_E0E9D6FF2CB6_.wvu.FilterData" localSheetId="0" hidden="1">'2020-2022 год Приложение 3'!$A$15:$H$458</definedName>
    <definedName name="Z_15FA0134_A4CC_4D11_9858_645DC052B6AD_.wvu.FilterData" localSheetId="1" hidden="1">'2020-2022 год Приложение  4'!$A$15:$D$490</definedName>
    <definedName name="Z_1729F617_A0BC_4D84_A55B_85DEEA107106_.wvu.FilterData" localSheetId="1" hidden="1">'2020-2022 год Приложение  4'!$A$14:$I$500</definedName>
    <definedName name="Z_1729F617_A0BC_4D84_A55B_85DEEA107106_.wvu.FilterData" localSheetId="0" hidden="1">'2020-2022 год Приложение 3'!$A$14:$H$461</definedName>
    <definedName name="Z_1793FDB0_A567_4A38_9DE3_5A747B08302B_.wvu.FilterData" localSheetId="1" hidden="1">'2020-2022 год Приложение  4'!$A$15:$I$490</definedName>
    <definedName name="Z_1793FDB0_A567_4A38_9DE3_5A747B08302B_.wvu.FilterData" localSheetId="0" hidden="1">'2020-2022 год Приложение 3'!$A$15:$H$458</definedName>
    <definedName name="Z_194C4D50_8B1E_4DA0_A65A_45F4DB81B892_.wvu.FilterData" localSheetId="1" hidden="1">'2020-2022 год Приложение  4'!$A$14:$I$500</definedName>
    <definedName name="Z_194C4D50_8B1E_4DA0_A65A_45F4DB81B892_.wvu.FilterData" localSheetId="0" hidden="1">'2020-2022 год Приложение 3'!$A$14:$H$461</definedName>
    <definedName name="Z_1AA1C7E8_9431_413E_AEE6_AFCA81CFD471_.wvu.FilterData" localSheetId="1" hidden="1">'2020-2022 год Приложение  4'!$A$14:$I$490</definedName>
    <definedName name="Z_1AA718A6_3DAA_4262_B282_5B3E9BB12552_.wvu.FilterData" localSheetId="1" hidden="1">'2020-2022 год Приложение  4'!$A$14:$I$499</definedName>
    <definedName name="Z_1AA718A6_3DAA_4262_B282_5B3E9BB12552_.wvu.FilterData" localSheetId="0" hidden="1">'2020-2022 год Приложение 3'!$A$14:$H$461</definedName>
    <definedName name="Z_1C0C3F35_71F9_4D2D_A638_A75207DC70B3_.wvu.FilterData" localSheetId="1" hidden="1">'2020-2022 год Приложение  4'!$A$15:$I$490</definedName>
    <definedName name="Z_1C2CBEA6_B1D6_4CFC_89E4_B92BD2AE5C55_.wvu.FilterData" localSheetId="1" hidden="1">'2020-2022 год Приложение  4'!$A$15:$D$15</definedName>
    <definedName name="Z_1CBECDD3_B3FA_4906_B951_FE857F3A3E3A_.wvu.FilterData" localSheetId="1" hidden="1">'2020-2022 год Приложение  4'!$A$14:$I$500</definedName>
    <definedName name="Z_1CBECDD3_B3FA_4906_B951_FE857F3A3E3A_.wvu.FilterData" localSheetId="0" hidden="1">'2020-2022 год Приложение 3'!$A$14:$H$461</definedName>
    <definedName name="Z_1D63B7CC_0F8D_4744_A550_FF1CA2AA4F87_.wvu.FilterData" localSheetId="1" hidden="1">'2020-2022 год Приложение  4'!$A$14:$I$500</definedName>
    <definedName name="Z_1E00A9CD_B75D_4344_8689_CF1FDB6765FF_.wvu.FilterData" localSheetId="1" hidden="1">'2020-2022 год Приложение  4'!$A$14:$I$490</definedName>
    <definedName name="Z_1E052030_F48C_4DD4_B29D_0E8C002FAC48_.wvu.FilterData" localSheetId="1" hidden="1">'2020-2022 год Приложение  4'!$A$14:$I$499</definedName>
    <definedName name="Z_1E4CA0B1_24F5_4D27_8037_1E8CE5CEBB43_.wvu.FilterData" localSheetId="1" hidden="1">'2020-2022 год Приложение  4'!$A$14:$I$499</definedName>
    <definedName name="Z_1F649016_D7DE_4056_A3D4_98A4276D8D73_.wvu.FilterData" localSheetId="1" hidden="1">'2020-2022 год Приложение  4'!$A$14:$I$500</definedName>
    <definedName name="Z_20A13DD1_7173_4432_8F1D_5127F78A7FC1_.wvu.FilterData" localSheetId="0" hidden="1">'2020-2022 год Приложение 3'!$A$15:$H$458</definedName>
    <definedName name="Z_2342AC8A_9610_4C75_A5D5_C4E7FF18D4DE_.wvu.FilterData" localSheetId="1" hidden="1">'2020-2022 год Приложение  4'!$A$14:$I$499</definedName>
    <definedName name="Z_245CB67F_E520_4B94_8858_B81AB4723F58_.wvu.FilterData" localSheetId="0" hidden="1">'2020-2022 год Приложение 3'!$A$14:$H$461</definedName>
    <definedName name="Z_255C6B67_D096_41E9_BC2F_9E2EF7DC0ADD_.wvu.FilterData" localSheetId="1" hidden="1">'2020-2022 год Приложение  4'!$A$15:$D$490</definedName>
    <definedName name="Z_25DA3027_F1CD_4CF6_B3DA_FE997FF794DC_.wvu.FilterData" localSheetId="1" hidden="1">'2020-2022 год Приложение  4'!$A$14:$I$499</definedName>
    <definedName name="Z_25DA3027_F1CD_4CF6_B3DA_FE997FF794DC_.wvu.FilterData" localSheetId="0" hidden="1">'2020-2022 год Приложение 3'!$A$14:$H$461</definedName>
    <definedName name="Z_2628FDD6_6C81_4DF6_8476_B47EC5D322D1_.wvu.FilterData" localSheetId="1" hidden="1">'2020-2022 год Приложение  4'!$A$14:$I$500</definedName>
    <definedName name="Z_2628FDD6_6C81_4DF6_8476_B47EC5D322D1_.wvu.FilterData" localSheetId="0" hidden="1">'2020-2022 год Приложение 3'!$A$14:$H$461</definedName>
    <definedName name="Z_28EE3EBE_191C_4492_B285_F87B606971F7_.wvu.FilterData" localSheetId="1" hidden="1">'2020-2022 год Приложение  4'!$A$14:$I$490</definedName>
    <definedName name="Z_29F890E0_C9E7_42D5_82BF_281E463A6F97_.wvu.FilterData" localSheetId="0" hidden="1">'2020-2022 год Приложение 3'!$A$16:$H$378</definedName>
    <definedName name="Z_2B5903EA_C582_447F_AE1E_0069BE6A20DA_.wvu.FilterData" localSheetId="1" hidden="1">'2020-2022 год Приложение  4'!$A$14:$I$490</definedName>
    <definedName name="Z_2B5903EA_C582_447F_AE1E_0069BE6A20DA_.wvu.FilterData" localSheetId="0" hidden="1">'2020-2022 год Приложение 3'!$A$14:$H$458</definedName>
    <definedName name="Z_2C31D4B1_0698_43BF_AA90_7F4960F85D25_.wvu.FilterData" localSheetId="1" hidden="1">'2020-2022 год Приложение  4'!$A$14:$I$14</definedName>
    <definedName name="Z_2C31D4B1_0698_43BF_AA90_7F4960F85D25_.wvu.FilterData" localSheetId="0" hidden="1">'2020-2022 год Приложение 3'!$A$15:$C$458</definedName>
    <definedName name="Z_2C8748C9_2E71_4C69_94DE_87D1C2F1495D_.wvu.FilterData" localSheetId="1" hidden="1">'2020-2022 год Приложение  4'!$A$14:$I$490</definedName>
    <definedName name="Z_2C8748C9_2E71_4C69_94DE_87D1C2F1495D_.wvu.FilterData" localSheetId="0" hidden="1">'2020-2022 год Приложение 3'!$A$14:$H$458</definedName>
    <definedName name="Z_2D5C7954_DAA6_40B3_BCE4_2FB1B4EAA202_.wvu.FilterData" localSheetId="1" hidden="1">'2020-2022 год Приложение  4'!$A$14:$I$499</definedName>
    <definedName name="Z_2E8A7F9A_F1D1_411F_B656_1F019CD636A5_.wvu.FilterData" localSheetId="1" hidden="1">'2020-2022 год Приложение  4'!$A$15:$I$490</definedName>
    <definedName name="Z_2E8A7F9A_F1D1_411F_B656_1F019CD636A5_.wvu.FilterData" localSheetId="0" hidden="1">'2020-2022 год Приложение 3'!$A$15:$H$458</definedName>
    <definedName name="Z_2F069B6E_83FC_4202_8C2F_19D72B74E7B4_.wvu.FilterData" localSheetId="1" hidden="1">'2020-2022 год Приложение  4'!$A$14:$I$500</definedName>
    <definedName name="Z_2F069B6E_83FC_4202_8C2F_19D72B74E7B4_.wvu.FilterData" localSheetId="0" hidden="1">'2020-2022 год Приложение 3'!$A$14:$H$461</definedName>
    <definedName name="Z_2F2BAB57_3B85_4B60_A7AA_BFC253810F7B_.wvu.FilterData" localSheetId="1" hidden="1">'2020-2022 год Приложение  4'!$A$15:$D$490</definedName>
    <definedName name="Z_2F2BAB57_3B85_4B60_A7AA_BFC253810F7B_.wvu.FilterData" localSheetId="0" hidden="1">'2020-2022 год Приложение 3'!$A$15:$H$458</definedName>
    <definedName name="Z_2F4E7589_BB9E_4EE8_9FB7_7E262394E878_.wvu.FilterData" localSheetId="1" hidden="1">'2020-2022 год Приложение  4'!$A$14:$I$500</definedName>
    <definedName name="Z_2F4E7589_BB9E_4EE8_9FB7_7E262394E878_.wvu.FilterData" localSheetId="0" hidden="1">'2020-2022 год Приложение 3'!$A$14:$H$461</definedName>
    <definedName name="Z_2F4E7589_BB9E_4EE8_9FB7_7E262394E878_.wvu.PrintArea" localSheetId="1" hidden="1">'2020-2022 год Приложение  4'!$A$1:$I$499</definedName>
    <definedName name="Z_2F4E7589_BB9E_4EE8_9FB7_7E262394E878_.wvu.PrintTitles" localSheetId="1" hidden="1">'2020-2022 год Приложение  4'!$13:$14</definedName>
    <definedName name="Z_2FD6E6CE_7595_422E_A05A_30DB27EAFE8F_.wvu.FilterData" localSheetId="1" hidden="1">'2020-2022 год Приложение  4'!$A$15:$I$490</definedName>
    <definedName name="Z_3011A347_4FEE_45EE_A3D2_6E9495927AC2_.wvu.FilterData" localSheetId="0" hidden="1">'2020-2022 год Приложение 3'!$A$15:$H$458</definedName>
    <definedName name="Z_3043DB26_2AE8_4FBC_AF0B_98EE0530BCF3_.wvu.FilterData" localSheetId="1" hidden="1">'2020-2022 год Приложение  4'!$A$14:$I$499</definedName>
    <definedName name="Z_31304256_DFD3_482B_B984_BC9517A67CAB_.wvu.FilterData" localSheetId="0" hidden="1">'2020-2022 год Приложение 3'!$A$16:$H$378</definedName>
    <definedName name="Z_32513D7C_6D2E_4806_BFCE_CD9FEFA27E0A_.wvu.FilterData" localSheetId="1" hidden="1">'2020-2022 год Приложение  4'!$A$15:$D$490</definedName>
    <definedName name="Z_325269F9_9B7F_4B55_9F32_1A4C2C92C2FD_.wvu.FilterData" localSheetId="1" hidden="1">'2020-2022 год Приложение  4'!$A$14:$I$499</definedName>
    <definedName name="Z_326281D8_1458_43AD_995C_40833A4FF9F7_.wvu.FilterData" localSheetId="1" hidden="1">'2020-2022 год Приложение  4'!$A$15:$I$490</definedName>
    <definedName name="Z_326A7E77_A9A7_4FEA_9D3B_9E37C76DF9C0_.wvu.FilterData" localSheetId="1" hidden="1">'2020-2022 год Приложение  4'!$A$15:$I$499</definedName>
    <definedName name="Z_326A7E77_A9A7_4FEA_9D3B_9E37C76DF9C0_.wvu.FilterData" localSheetId="0" hidden="1">'2020-2022 год Приложение 3'!$A$15:$H$461</definedName>
    <definedName name="Z_331A4417_6C49_4562_9796_C359FA2BE96D_.wvu.FilterData" localSheetId="1" hidden="1">'2020-2022 год Приложение  4'!$A$15:$I$490</definedName>
    <definedName name="Z_33A39570_20DE_4F2F_A078_9F3318EDC7C4_.wvu.FilterData" localSheetId="1" hidden="1">'2020-2022 год Приложение  4'!$A$14:$I$499</definedName>
    <definedName name="Z_33A39570_20DE_4F2F_A078_9F3318EDC7C4_.wvu.FilterData" localSheetId="0" hidden="1">'2020-2022 год Приложение 3'!$A$14:$H$461</definedName>
    <definedName name="Z_3496C1F0_BCFA_4A0C_A603_54E999DDD507_.wvu.FilterData" localSheetId="1" hidden="1">'2020-2022 год Приложение  4'!$A$15:$I$490</definedName>
    <definedName name="Z_35042B4D_185D_4923_B7C3_7D72B1327020_.wvu.FilterData" localSheetId="0" hidden="1">'2020-2022 год Приложение 3'!$A$14:$H$458</definedName>
    <definedName name="Z_36D0FE8F_F221_4C7E_9A36_23BAF26A4B3C_.wvu.FilterData" localSheetId="1" hidden="1">'2020-2022 год Приложение  4'!$A$14:$I$500</definedName>
    <definedName name="Z_36D0FE8F_F221_4C7E_9A36_23BAF26A4B3C_.wvu.FilterData" localSheetId="0" hidden="1">'2020-2022 год Приложение 3'!$A$14:$H$461</definedName>
    <definedName name="Z_372AE423_B16C_4226_B887_6F875638DB23_.wvu.FilterData" localSheetId="1" hidden="1">'2020-2022 год Приложение  4'!$A$15:$D$490</definedName>
    <definedName name="Z_372AE423_B16C_4226_B887_6F875638DB23_.wvu.FilterData" localSheetId="0" hidden="1">'2020-2022 год Приложение 3'!$A$15:$H$458</definedName>
    <definedName name="Z_37C22F8C_5317_4036_9B6D_4959DC678D32_.wvu.FilterData" localSheetId="1" hidden="1">'2020-2022 год Приложение  4'!$A$15:$D$490</definedName>
    <definedName name="Z_37C22F8C_5317_4036_9B6D_4959DC678D32_.wvu.FilterData" localSheetId="0" hidden="1">'2020-2022 год Приложение 3'!$A$15:$H$458</definedName>
    <definedName name="Z_383CEABE_F949_4B72_892F_0ABF911F7452_.wvu.FilterData" localSheetId="1" hidden="1">'2020-2022 год Приложение  4'!$A$14:$I$499</definedName>
    <definedName name="Z_386D50F9_CEE7_46CD_A395_43D9880373C4_.wvu.FilterData" localSheetId="1" hidden="1">'2020-2022 год Приложение  4'!$A$15:$D$490</definedName>
    <definedName name="Z_386D50F9_CEE7_46CD_A395_43D9880373C4_.wvu.FilterData" localSheetId="0" hidden="1">'2020-2022 год Приложение 3'!$A$15:$C$458</definedName>
    <definedName name="Z_38C63987_0AE9_4A83_8CF7_BCCCF760641A_.wvu.FilterData" localSheetId="1" hidden="1">'2020-2022 год Приложение  4'!$A$15:$I$490</definedName>
    <definedName name="Z_3A07858B_A892_4A8A_8DA8_CFA3C5ED5937_.wvu.FilterData" localSheetId="1" hidden="1">'2020-2022 год Приложение  4'!$A$14:$I$500</definedName>
    <definedName name="Z_3A202BC1_A5BF_4B0A_AE04_4ADD78D9DA7D_.wvu.FilterData" localSheetId="1" hidden="1">'2020-2022 год Приложение  4'!$A$15:$I$490</definedName>
    <definedName name="Z_3C3D319D_9875_4423_A472_EA1CBCFD3D32_.wvu.FilterData" localSheetId="1" hidden="1">'2020-2022 год Приложение  4'!$A$15:$I$490</definedName>
    <definedName name="Z_3D36D4CD_D317_4D11_9EF4_279AF0BA4D22_.wvu.FilterData" localSheetId="1" hidden="1">'2020-2022 год Приложение  4'!$A$15:$I$490</definedName>
    <definedName name="Z_3DD74414_5CAB_495E_9125_A70EBFC442AF_.wvu.FilterData" localSheetId="1" hidden="1">'2020-2022 год Приложение  4'!$A$16:$I$490</definedName>
    <definedName name="Z_3DDD7641_CD23_4658_A2CE_B4FEB02A0159_.wvu.FilterData" localSheetId="1" hidden="1">'2020-2022 год Приложение  4'!$A$15:$I$490</definedName>
    <definedName name="Z_3E6C3B2B_9BE5_4A89_A297_56EDE963DDC1_.wvu.FilterData" localSheetId="1" hidden="1">'2020-2022 год Приложение  4'!$A$15:$I$490</definedName>
    <definedName name="Z_3F313A6C_4796_49DF_9C11_D110C8E222E8_.wvu.FilterData" localSheetId="1" hidden="1">'2020-2022 год Приложение  4'!$A$15:$D$15</definedName>
    <definedName name="Z_3F53FC12_C96E_4629_94B2_DDD250704DFC_.wvu.FilterData" localSheetId="1" hidden="1">'2020-2022 год Приложение  4'!$A$15:$I$490</definedName>
    <definedName name="Z_3F53FC12_C96E_4629_94B2_DDD250704DFC_.wvu.FilterData" localSheetId="0" hidden="1">'2020-2022 год Приложение 3'!$A$15:$H$458</definedName>
    <definedName name="Z_402CE151_A379_47CF_ADFC_8382F954F58E_.wvu.FilterData" localSheetId="1" hidden="1">'2020-2022 год Приложение  4'!$A$14:$I$499</definedName>
    <definedName name="Z_40328EBE_1B9A_4C01_AA33_3C094B2C7826_.wvu.FilterData" localSheetId="0" hidden="1">'2020-2022 год Приложение 3'!$A$15:$C$458</definedName>
    <definedName name="Z_4211EEE3_80E0_4661_AF12_187209E361F0_.wvu.FilterData" localSheetId="1" hidden="1">'2020-2022 год Приложение  4'!$A$14:$I$490</definedName>
    <definedName name="Z_4211EEE3_80E0_4661_AF12_187209E361F0_.wvu.FilterData" localSheetId="0" hidden="1">'2020-2022 год Приложение 3'!$A$15:$C$458</definedName>
    <definedName name="Z_424E4B19_E6F2_4A8C_83A5_CFD54B48D6E9_.wvu.FilterData" localSheetId="1" hidden="1">'2020-2022 год Приложение  4'!$A$15:$I$490</definedName>
    <definedName name="Z_427AE314_3976_4058_892A_5851309CCB98_.wvu.FilterData" localSheetId="1" hidden="1">'2020-2022 год Приложение  4'!$A$14:$I$490</definedName>
    <definedName name="Z_427AE314_3976_4058_892A_5851309CCB98_.wvu.FilterData" localSheetId="0" hidden="1">'2020-2022 год Приложение 3'!$A$14:$H$458</definedName>
    <definedName name="Z_43823885_114F_435D_A47D_D3CA76F33AAB_.wvu.FilterData" localSheetId="0" hidden="1">'2020-2022 год Приложение 3'!$A$16:$C$345</definedName>
    <definedName name="Z_44D4B39A_6AEB_45CE_8EB9_267FE36AD709_.wvu.FilterData" localSheetId="1" hidden="1">'2020-2022 год Приложение  4'!$A$14:$I$499</definedName>
    <definedName name="Z_45315D4A_631B_48F8_87E8_D7FB34A56EE6_.wvu.FilterData" localSheetId="1" hidden="1">'2020-2022 год Приложение  4'!$A$14:$I$500</definedName>
    <definedName name="Z_467F0D3D_0B71_4362_9E4C_6C954DC8A15D_.wvu.FilterData" localSheetId="1" hidden="1">'2020-2022 год Приложение  4'!$A$16:$I$490</definedName>
    <definedName name="Z_48336C08_94FE_4074_AC8A_EA8B237AD038_.wvu.FilterData" localSheetId="1" hidden="1">'2020-2022 год Приложение  4'!$A$15:$D$490</definedName>
    <definedName name="Z_48336C08_94FE_4074_AC8A_EA8B237AD038_.wvu.FilterData" localSheetId="0" hidden="1">'2020-2022 год Приложение 3'!$A$15:$H$458</definedName>
    <definedName name="Z_48520079_7DAF_4F6C_A0C8_C53C7CAF0243_.wvu.FilterData" localSheetId="1" hidden="1">'2020-2022 год Приложение  4'!$A$14:$I$500</definedName>
    <definedName name="Z_49EE256F_16A9_4E3D_AC02_1CCCF545AD42_.wvu.FilterData" localSheetId="1" hidden="1">'2020-2022 год Приложение  4'!$A$14:$I$500</definedName>
    <definedName name="Z_4B4FD35A_9469_4FE1_882E_85989A878F33_.wvu.FilterData" localSheetId="1" hidden="1">'2020-2022 год Приложение  4'!$A$15:$D$15</definedName>
    <definedName name="Z_4B6C104C_E823_4230_B8E7_837634FD5851_.wvu.FilterData" localSheetId="1" hidden="1">'2020-2022 год Приложение  4'!$A$15:$I$490</definedName>
    <definedName name="Z_4B6C104C_E823_4230_B8E7_837634FD5851_.wvu.FilterData" localSheetId="0" hidden="1">'2020-2022 год Приложение 3'!$A$15:$H$458</definedName>
    <definedName name="Z_4BA108C4_7B33_4A4E_B388_A3DA552B5D0C_.wvu.FilterData" localSheetId="1" hidden="1">'2020-2022 год Приложение  4'!$A$14:$I$499</definedName>
    <definedName name="Z_4BF88301_5D07_4335_9373_DE01F04BD47F_.wvu.FilterData" localSheetId="1" hidden="1">'2020-2022 год Приложение  4'!$A$15:$I$490</definedName>
    <definedName name="Z_4CC13233_2272_48EC_B93B_D629C6380523_.wvu.FilterData" localSheetId="1" hidden="1">'2020-2022 год Приложение  4'!$A$14:$I$490</definedName>
    <definedName name="Z_4CC13233_2272_48EC_B93B_D629C6380523_.wvu.FilterData" localSheetId="0" hidden="1">'2020-2022 год Приложение 3'!$A$14:$H$458</definedName>
    <definedName name="Z_4D082717_2030_4E18_BF0C_1FDC8BC05C2F_.wvu.FilterData" localSheetId="1" hidden="1">'2020-2022 год Приложение  4'!$A$14:$I$500</definedName>
    <definedName name="Z_4D082717_2030_4E18_BF0C_1FDC8BC05C2F_.wvu.FilterData" localSheetId="0" hidden="1">'2020-2022 год Приложение 3'!$A$14:$H$461</definedName>
    <definedName name="Z_4D3648C3_6F57_4DAB_9EA5_7A2AB6A90FF8_.wvu.FilterData" localSheetId="1" hidden="1">'2020-2022 год Приложение  4'!$A$15:$I$490</definedName>
    <definedName name="Z_4D55DC1B_A7FD_49B3_B1F4_FC222955B568_.wvu.FilterData" localSheetId="1" hidden="1">'2020-2022 год Приложение  4'!$A$14:$I$499</definedName>
    <definedName name="Z_4DD4AE89_7647_448D_8A0D_26557585F373_.wvu.FilterData" localSheetId="1" hidden="1">'2020-2022 год Приложение  4'!$A$15:$I$490</definedName>
    <definedName name="Z_4DD4AE89_7647_448D_8A0D_26557585F373_.wvu.FilterData" localSheetId="0" hidden="1">'2020-2022 год Приложение 3'!$A$15:$H$458</definedName>
    <definedName name="Z_4E1C3345_197A_4EB5_ACB4_F9888915535C_.wvu.FilterData" localSheetId="0" hidden="1">'2020-2022 год Приложение 3'!$A$15:$H$458</definedName>
    <definedName name="Z_4EC1B69C_83C5_489D_8D1C_884BE3E4CFF1_.wvu.FilterData" localSheetId="0" hidden="1">'2020-2022 год Приложение 3'!$A$14:$H$461</definedName>
    <definedName name="Z_4FF68274_B21B_40AC_B65B_9A73A1EEBFDC_.wvu.FilterData" localSheetId="1" hidden="1">'2020-2022 год Приложение  4'!$A$14:$I$500</definedName>
    <definedName name="Z_50EC7A1E_0082_4E23_B8FF_7D5B6E9DF2C8_.wvu.FilterData" localSheetId="0" hidden="1">'2020-2022 год Приложение 3'!$A$14:$H$461</definedName>
    <definedName name="Z_51B46B97_55CA_4B76_BFE3_11ABFF98CFC6_.wvu.FilterData" localSheetId="1" hidden="1">'2020-2022 год Приложение  4'!$A$15:$D$488</definedName>
    <definedName name="Z_52A3D980_C956_4013_B795_3D8200BEA587_.wvu.FilterData" localSheetId="1" hidden="1">'2020-2022 год Приложение  4'!$A$15:$D$490</definedName>
    <definedName name="Z_539E4347_8C7F_44D4_9505_98849C03138E_.wvu.FilterData" localSheetId="0" hidden="1">'2020-2022 год Приложение 3'!$A$14:$H$378</definedName>
    <definedName name="Z_54DA9FAF_3460_4A9A_9DF6_7EF37DBCF7F1_.wvu.FilterData" localSheetId="1" hidden="1">'2020-2022 год Приложение  4'!$A$15:$D$490</definedName>
    <definedName name="Z_54DA9FAF_3460_4A9A_9DF6_7EF37DBCF7F1_.wvu.FilterData" localSheetId="0" hidden="1">'2020-2022 год Приложение 3'!$A$15:$C$458</definedName>
    <definedName name="Z_54FDBBC3_8B4A_4E98_958F_D0CC01A20386_.wvu.FilterData" localSheetId="1" hidden="1">'2020-2022 год Приложение  4'!$A$15:$D$490</definedName>
    <definedName name="Z_55ADA995_3354_4F19_B2FA_4CB4ECB5834D_.wvu.FilterData" localSheetId="0" hidden="1">'2020-2022 год Приложение 3'!$A$16:$C$345</definedName>
    <definedName name="Z_55E1A562_0EF0_422A_9EF8_173A182C0CF4_.wvu.FilterData" localSheetId="0" hidden="1">'2020-2022 год Приложение 3'!$A$15:$H$458</definedName>
    <definedName name="Z_55F6510E_4006_4742_8903_63EB7AF11BE0_.wvu.FilterData" localSheetId="1" hidden="1">'2020-2022 год Приложение  4'!$A$14:$I$500</definedName>
    <definedName name="Z_569D1BE0_637C_440E_82B8_4681627B74A4_.wvu.FilterData" localSheetId="1" hidden="1">'2020-2022 год Приложение  4'!$A$14:$I$499</definedName>
    <definedName name="Z_56C32958_9677_4F2B_B05C_46DC39A9C1A7_.wvu.FilterData" localSheetId="1" hidden="1">'2020-2022 год Приложение  4'!$A$14:$I$499</definedName>
    <definedName name="Z_56D81942_1FFC_4A87_98C9_603FCDE13260_.wvu.FilterData" localSheetId="1" hidden="1">'2020-2022 год Приложение  4'!$A$14:$I$499</definedName>
    <definedName name="Z_5752EBC4_0B49_4536_8B00_E9C01ED1A121_.wvu.FilterData" localSheetId="1" hidden="1">'2020-2022 год Приложение  4'!$A$15:$I$490</definedName>
    <definedName name="Z_5752EBC4_0B49_4536_8B00_E9C01ED1A121_.wvu.FilterData" localSheetId="0" hidden="1">'2020-2022 год Приложение 3'!$A$15:$H$458</definedName>
    <definedName name="Z_580FC08B_EB79_47A0_B1BB_FFE3BDE0FBD9_.wvu.Cols" localSheetId="1" hidden="1">'2020-2022 год Приложение  4'!$E:$F</definedName>
    <definedName name="Z_580FC08B_EB79_47A0_B1BB_FFE3BDE0FBD9_.wvu.Cols" localSheetId="0" hidden="1">'2020-2022 год Приложение 3'!$D:$E</definedName>
    <definedName name="Z_580FC08B_EB79_47A0_B1BB_FFE3BDE0FBD9_.wvu.FilterData" localSheetId="1" hidden="1">'2020-2022 год Приложение  4'!$A$14:$I$500</definedName>
    <definedName name="Z_580FC08B_EB79_47A0_B1BB_FFE3BDE0FBD9_.wvu.FilterData" localSheetId="0" hidden="1">'2020-2022 год Приложение 3'!$A$14:$H$461</definedName>
    <definedName name="Z_580FC08B_EB79_47A0_B1BB_FFE3BDE0FBD9_.wvu.PrintArea" localSheetId="1" hidden="1">'2020-2022 год Приложение  4'!$A$1:$I$499</definedName>
    <definedName name="Z_580FC08B_EB79_47A0_B1BB_FFE3BDE0FBD9_.wvu.PrintArea" localSheetId="0" hidden="1">'2020-2022 год Приложение 3'!$A$1:$H$461</definedName>
    <definedName name="Z_580FC08B_EB79_47A0_B1BB_FFE3BDE0FBD9_.wvu.PrintTitles" localSheetId="1" hidden="1">'2020-2022 год Приложение  4'!$13:$14</definedName>
    <definedName name="Z_580FC08B_EB79_47A0_B1BB_FFE3BDE0FBD9_.wvu.Rows" localSheetId="1" hidden="1">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4'!#REF!,'2020-2022 год Приложение  4'!#REF!</definedName>
    <definedName name="Z_59C2AACE_D634_4A8E_AB6E_28C6423B75B3_.wvu.FilterData" localSheetId="0" hidden="1">'2020-2022 год Приложение 3'!$A$14:$H$378</definedName>
    <definedName name="Z_5C025C79_5D14_4BAA_BFBE_9AADEECC4192_.wvu.FilterData" localSheetId="1" hidden="1">'2020-2022 год Приложение  4'!$A$14:$I$490</definedName>
    <definedName name="Z_5C025C79_5D14_4BAA_BFBE_9AADEECC4192_.wvu.FilterData" localSheetId="0" hidden="1">'2020-2022 год Приложение 3'!$A$14:$H$458</definedName>
    <definedName name="Z_5CDEDDD8_D30C_4AFC_800F_E6E8BABF8855_.wvu.FilterData" localSheetId="0" hidden="1">'2020-2022 год Приложение 3'!$A$14:$H$461</definedName>
    <definedName name="Z_5D281A4A_D9B3_4FFB_A671_226289380EFA_.wvu.FilterData" localSheetId="1" hidden="1">'2020-2022 год Приложение  4'!$A$14:$I$499</definedName>
    <definedName name="Z_5D281A4A_D9B3_4FFB_A671_226289380EFA_.wvu.FilterData" localSheetId="0" hidden="1">'2020-2022 год Приложение 3'!$A$14:$H$461</definedName>
    <definedName name="Z_5D8C17BC_AA9D_4951_B935_41BCC0994151_.wvu.FilterData" localSheetId="1" hidden="1">'2020-2022 год Приложение  4'!$A$14:$I$490</definedName>
    <definedName name="Z_5E41CC12_96D3_46DA_8B27_1E27974E447A_.wvu.FilterData" localSheetId="1" hidden="1">'2020-2022 год Приложение  4'!$A$15:$D$490</definedName>
    <definedName name="Z_600DD210_17BC_46DE_B02E_8F488F8FE244_.wvu.FilterData" localSheetId="1" hidden="1">'2020-2022 год Приложение  4'!$A$14:$I$490</definedName>
    <definedName name="Z_61806E68_5051_48E6_8D45_0FCD3D1558B3_.wvu.FilterData" localSheetId="1" hidden="1">'2020-2022 год Приложение  4'!$A$14:$I$500</definedName>
    <definedName name="Z_61806E68_5051_48E6_8D45_0FCD3D1558B3_.wvu.FilterData" localSheetId="0" hidden="1">'2020-2022 год Приложение 3'!$A$14:$H$461</definedName>
    <definedName name="Z_61806E68_5051_48E6_8D45_0FCD3D1558B3_.wvu.PrintArea" localSheetId="1" hidden="1">'2020-2022 год Приложение  4'!$A$1:$I$499</definedName>
    <definedName name="Z_61806E68_5051_48E6_8D45_0FCD3D1558B3_.wvu.PrintArea" localSheetId="0" hidden="1">'2020-2022 год Приложение 3'!$A$1:$H$461</definedName>
    <definedName name="Z_61806E68_5051_48E6_8D45_0FCD3D1558B3_.wvu.PrintTitles" localSheetId="1" hidden="1">'2020-2022 год Приложение  4'!$13:$14</definedName>
    <definedName name="Z_62E25274_6F1E_4A5A_B5A4_BBE3A2D11971_.wvu.FilterData" localSheetId="1" hidden="1">'2020-2022 год Приложение  4'!$A$14:$I$500</definedName>
    <definedName name="Z_64842CF8_C097_4857_8552_56BA78A522D2_.wvu.FilterData" localSheetId="1" hidden="1">'2020-2022 год Приложение  4'!$A$14:$I$499</definedName>
    <definedName name="Z_64842CF8_C097_4857_8552_56BA78A522D2_.wvu.FilterData" localSheetId="0" hidden="1">'2020-2022 год Приложение 3'!$A$14:$H$461</definedName>
    <definedName name="Z_65075A4D_E3FA_49BB_8009_D0572786FC9F_.wvu.FilterData" localSheetId="1" hidden="1">'2020-2022 год Приложение  4'!$A$15:$D$490</definedName>
    <definedName name="Z_65075A4D_E3FA_49BB_8009_D0572786FC9F_.wvu.FilterData" localSheetId="0" hidden="1">'2020-2022 год Приложение 3'!$A$15:$H$458</definedName>
    <definedName name="Z_652EEE1E_8D26_4708_8098_351B1CA3B36B_.wvu.FilterData" localSheetId="1" hidden="1">'2020-2022 год Приложение  4'!$A$14:$I$500</definedName>
    <definedName name="Z_659F45E2_B4C1_4E2B_97A0_1DD61AFB318D_.wvu.FilterData" localSheetId="1" hidden="1">'2020-2022 год Приложение  4'!$A$14:$I$500</definedName>
    <definedName name="Z_6A9F626D_B5C9_445D_9F91_12D541237654_.wvu.FilterData" localSheetId="1" hidden="1">'2020-2022 год Приложение  4'!$A$14:$I$499</definedName>
    <definedName name="Z_6D077CB9_8D59_462F_924F_03374197C26E_.wvu.FilterData" localSheetId="1" hidden="1">'2020-2022 год Приложение  4'!$A$15:$D$490</definedName>
    <definedName name="Z_6DFC8E4B_4846_4ACB_803A_C01DDFF5FD08_.wvu.FilterData" localSheetId="1" hidden="1">'2020-2022 год Приложение  4'!$A$16:$I$490</definedName>
    <definedName name="Z_6FA2F3FF_FC92_4230_AD85_214210FA1FCD_.wvu.FilterData" localSheetId="0" hidden="1">'2020-2022 год Приложение 3'!$A$15:$H$458</definedName>
    <definedName name="Z_6FDD2DD6_A80A_404B_8AE4_CD3FE455A3F7_.wvu.FilterData" localSheetId="1" hidden="1">'2020-2022 год Приложение  4'!$A$14:$I$499</definedName>
    <definedName name="Z_6FDD2DD6_A80A_404B_8AE4_CD3FE455A3F7_.wvu.FilterData" localSheetId="0" hidden="1">'2020-2022 год Приложение 3'!$A$14:$H$461</definedName>
    <definedName name="Z_705D0166_D47B_44E0_B753_48B27BAD2F83_.wvu.FilterData" localSheetId="1" hidden="1">'2020-2022 год Приложение  4'!$A$14:$I$499</definedName>
    <definedName name="Z_705D0166_D47B_44E0_B753_48B27BAD2F83_.wvu.FilterData" localSheetId="0" hidden="1">'2020-2022 год Приложение 3'!$A$14:$H$461</definedName>
    <definedName name="Z_70A97D09_6105_4B02_B7B6_DBBACE81FC1A_.wvu.FilterData" localSheetId="1" hidden="1">'2020-2022 год Приложение  4'!$A$15:$D$490</definedName>
    <definedName name="Z_70A97D09_6105_4B02_B7B6_DBBACE81FC1A_.wvu.FilterData" localSheetId="0" hidden="1">'2020-2022 год Приложение 3'!$A$15:$H$458</definedName>
    <definedName name="Z_712AD0B0_6BA1_4BC2_9CE3_9601459A3B21_.wvu.FilterData" localSheetId="1" hidden="1">'2020-2022 год Приложение  4'!$A$14:$I$500</definedName>
    <definedName name="Z_71E905DE_E4C2_41D6_AE4D_523FA0B80977_.wvu.FilterData" localSheetId="0" hidden="1">'2020-2022 год Приложение 3'!$A$16:$C$345</definedName>
    <definedName name="Z_72B4C89C_49DE_4A17_8DDA_74F10DAAFBE1_.wvu.FilterData" localSheetId="1" hidden="1">'2020-2022 год Приложение  4'!$A$14:$I$499</definedName>
    <definedName name="Z_768B9204_F1EC_47F0_A690_BF94608AD544_.wvu.FilterData" localSheetId="0" hidden="1">'2020-2022 год Приложение 3'!$A$15:$C$458</definedName>
    <definedName name="Z_777E1047_05A4_453A_BA66_615495BC0516_.wvu.FilterData" localSheetId="1" hidden="1">'2020-2022 год Приложение  4'!$A$16:$I$490</definedName>
    <definedName name="Z_777E1047_05A4_453A_BA66_615495BC0516_.wvu.FilterData" localSheetId="0" hidden="1">'2020-2022 год Приложение 3'!$A$15:$H$458</definedName>
    <definedName name="Z_7813E585_2814_4167_ABED_699744C04C2C_.wvu.FilterData" localSheetId="1" hidden="1">'2020-2022 год Приложение  4'!$A$15:$D$15</definedName>
    <definedName name="Z_78912F0C_9D89_4BEB_B86D_8AD95C5BBC1E_.wvu.Cols" localSheetId="1" hidden="1">'2020-2022 год Приложение  4'!$E:$F</definedName>
    <definedName name="Z_78912F0C_9D89_4BEB_B86D_8AD95C5BBC1E_.wvu.Cols" localSheetId="0" hidden="1">'2020-2022 год Приложение 3'!$D:$E</definedName>
    <definedName name="Z_78912F0C_9D89_4BEB_B86D_8AD95C5BBC1E_.wvu.FilterData" localSheetId="1" hidden="1">'2020-2022 год Приложение  4'!$A$14:$I$500</definedName>
    <definedName name="Z_78912F0C_9D89_4BEB_B86D_8AD95C5BBC1E_.wvu.FilterData" localSheetId="0" hidden="1">'2020-2022 год Приложение 3'!$A$14:$H$461</definedName>
    <definedName name="Z_78912F0C_9D89_4BEB_B86D_8AD95C5BBC1E_.wvu.PrintArea" localSheetId="1" hidden="1">'2020-2022 год Приложение  4'!$A$1:$I$499</definedName>
    <definedName name="Z_78912F0C_9D89_4BEB_B86D_8AD95C5BBC1E_.wvu.PrintTitles" localSheetId="1" hidden="1">'2020-2022 год Приложение  4'!$13:$14</definedName>
    <definedName name="Z_7940A028_A7AF_4FFC_B2DF_4B504F31FD94_.wvu.FilterData" localSheetId="1" hidden="1">'2020-2022 год Приложение  4'!$A$14:$I$500</definedName>
    <definedName name="Z_7D22304E_D1C8_401C_BE7F_FAD7CB5ABD0F_.wvu.FilterData" localSheetId="1" hidden="1">'2020-2022 год Приложение  4'!$A$15:$I$499</definedName>
    <definedName name="Z_7D2A376A_8FBD_4BB2_8C7D_94AE0A678472_.wvu.FilterData" localSheetId="1" hidden="1">'2020-2022 год Приложение  4'!$A$15:$I$490</definedName>
    <definedName name="Z_7D2A376A_8FBD_4BB2_8C7D_94AE0A678472_.wvu.FilterData" localSheetId="0" hidden="1">'2020-2022 год Приложение 3'!$A$15:$H$458</definedName>
    <definedName name="Z_7D3926A4_57E5_40FD_95A9_3F0FFE087D34_.wvu.FilterData" localSheetId="1" hidden="1">'2020-2022 год Приложение  4'!$A$15:$D$490</definedName>
    <definedName name="Z_7DA340B0_A677_40FD_82BA_34EB9FBA5556_.wvu.FilterData" localSheetId="1" hidden="1">'2020-2022 год Приложение  4'!$A$15:$I$490</definedName>
    <definedName name="Z_7DF7B80B_696A_4C0C_BA73_6C7E22E0BFA3_.wvu.FilterData" localSheetId="1" hidden="1">'2020-2022 год Приложение  4'!$A$14:$I$500</definedName>
    <definedName name="Z_7EC381AA_9FDC_4F10_A325_E70C422012CC_.wvu.FilterData" localSheetId="1" hidden="1">'2020-2022 год Приложение  4'!$A$14:$I$500</definedName>
    <definedName name="Z_7ED1B12E_18E8_4D0C_999C_3C696EA0954D_.wvu.FilterData" localSheetId="1" hidden="1">'2020-2022 год Приложение  4'!$A$15:$I$490</definedName>
    <definedName name="Z_7ED1B12E_18E8_4D0C_999C_3C696EA0954D_.wvu.FilterData" localSheetId="0" hidden="1">'2020-2022 год Приложение 3'!$A$15:$H$458</definedName>
    <definedName name="Z_7F2A2685_A0E5_4EC9_8A9A_FBEC6AEEC584_.wvu.FilterData" localSheetId="1" hidden="1">'2020-2022 год Приложение  4'!$A$14:$I$499</definedName>
    <definedName name="Z_7F60680A_F797_4F75_B289_136C39785CB1_.wvu.FilterData" localSheetId="1" hidden="1">'2020-2022 год Приложение  4'!$A$14:$I$14</definedName>
    <definedName name="Z_7F60680A_F797_4F75_B289_136C39785CB1_.wvu.FilterData" localSheetId="0" hidden="1">'2020-2022 год Приложение 3'!$A$15:$C$458</definedName>
    <definedName name="Z_803FF1DA_FE3A_4C89_ACF9_5F7B432D37D2_.wvu.FilterData" localSheetId="1" hidden="1">'2020-2022 год Приложение  4'!$A$15:$I$499</definedName>
    <definedName name="Z_8099F9D8_3DEF_4716_96B1_2D7622FBA908_.wvu.FilterData" localSheetId="0" hidden="1">'2020-2022 год Приложение 3'!$A$15:$H$458</definedName>
    <definedName name="Z_840257E4_FFC7_48B0_9B38_53E946E6B820_.wvu.FilterData" localSheetId="1" hidden="1">'2020-2022 год Приложение  4'!$A$14:$I$499</definedName>
    <definedName name="Z_846BC90F_537E_49E8_A607_A0E4864A881D_.wvu.FilterData" localSheetId="1" hidden="1">'2020-2022 год Приложение  4'!$A$15:$D$490</definedName>
    <definedName name="Z_84810A54_967A_4759_8061_B741BCC05467_.wvu.FilterData" localSheetId="1" hidden="1">'2020-2022 год Приложение  4'!$A$15:$D$490</definedName>
    <definedName name="Z_84810A54_967A_4759_8061_B741BCC05467_.wvu.FilterData" localSheetId="0" hidden="1">'2020-2022 год Приложение 3'!$A$15:$C$458</definedName>
    <definedName name="Z_85227F59_2ABD_4457_B872_C32BBA9DAD0F_.wvu.FilterData" localSheetId="1" hidden="1">'2020-2022 год Приложение  4'!$A$15:$D$490</definedName>
    <definedName name="Z_897A8A7F_52ED_4037_B135_D2E3BC3DCF4C_.wvu.FilterData" localSheetId="1" hidden="1">'2020-2022 год Приложение  4'!$A$14:$I$500</definedName>
    <definedName name="Z_8A0DEA83_7805_4952_B850_C5AA181F7D7A_.wvu.FilterData" localSheetId="1" hidden="1">'2020-2022 год Приложение  4'!$A$15:$D$490</definedName>
    <definedName name="Z_8A6693F6_3B9B_4545_AD65_EC8C2DCC3E76_.wvu.FilterData" localSheetId="1" hidden="1">'2020-2022 год Приложение  4'!$A$14:$I$499</definedName>
    <definedName name="Z_8B0D6C27_C56C_4672_BE16_AA2BB86B1797_.wvu.FilterData" localSheetId="1" hidden="1">'2020-2022 год Приложение  4'!$A$14:$I$499</definedName>
    <definedName name="Z_8B0D6C27_C56C_4672_BE16_AA2BB86B1797_.wvu.FilterData" localSheetId="0" hidden="1">'2020-2022 год Приложение 3'!$A$14:$H$461</definedName>
    <definedName name="Z_8DD3B0BE_69CB_4F10_B908_E489A5133639_.wvu.FilterData" localSheetId="1" hidden="1">'2020-2022 год Приложение  4'!$A$14:$I$500</definedName>
    <definedName name="Z_90C4E073_73E1_4CF8_8D6C_D3F123ECDF26_.wvu.FilterData" localSheetId="1" hidden="1">'2020-2022 год Приложение  4'!$A$15:$I$490</definedName>
    <definedName name="Z_90C4E073_73E1_4CF8_8D6C_D3F123ECDF26_.wvu.FilterData" localSheetId="0" hidden="1">'2020-2022 год Приложение 3'!$A$15:$H$458</definedName>
    <definedName name="Z_90E5380E_CDF8_4D38_9E20_1FA14AE59581_.wvu.FilterData" localSheetId="1" hidden="1">'2020-2022 год Приложение  4'!$A$16:$I$490</definedName>
    <definedName name="Z_90E5380E_CDF8_4D38_9E20_1FA14AE59581_.wvu.FilterData" localSheetId="0" hidden="1">'2020-2022 год Приложение 3'!$A$15:$H$458</definedName>
    <definedName name="Z_917D339C_6FD9_4579_A679_AC80361B9D57_.wvu.FilterData" localSheetId="1" hidden="1">'2020-2022 год Приложение  4'!$A$14:$I$14</definedName>
    <definedName name="Z_917D339C_6FD9_4579_A679_AC80361B9D57_.wvu.FilterData" localSheetId="0" hidden="1">'2020-2022 год Приложение 3'!$A$15:$C$458</definedName>
    <definedName name="Z_91950569_3719_458D_B0AB_7E6F43EB965E_.wvu.FilterData" localSheetId="1" hidden="1">'2020-2022 год Приложение  4'!$A$15:$D$490</definedName>
    <definedName name="Z_91950569_3719_458D_B0AB_7E6F43EB965E_.wvu.FilterData" localSheetId="0" hidden="1">'2020-2022 год Приложение 3'!$A$15:$C$458</definedName>
    <definedName name="Z_91A2586C_D2E9_46B3_A562_A1873848785C_.wvu.FilterData" localSheetId="1" hidden="1">'2020-2022 год Приложение  4'!$A$14:$I$499</definedName>
    <definedName name="Z_920303D0_9410_40AF_BD6F_D7C67120C042_.wvu.FilterData" localSheetId="1" hidden="1">'2020-2022 год Приложение  4'!$A$14:$I$500</definedName>
    <definedName name="Z_920303D0_9410_40AF_BD6F_D7C67120C042_.wvu.FilterData" localSheetId="0" hidden="1">'2020-2022 год Приложение 3'!$A$14:$H$461</definedName>
    <definedName name="Z_92053A4E_9CDE_49B6_84E2_A66F9B55B321_.wvu.FilterData" localSheetId="1" hidden="1">'2020-2022 год Приложение  4'!$A$15:$D$490</definedName>
    <definedName name="Z_930DC81B_F54A_425A_9FB7_F214A7424670_.wvu.FilterData" localSheetId="1" hidden="1">'2020-2022 год Приложение  4'!$A$15:$I$490</definedName>
    <definedName name="Z_930DC81B_F54A_425A_9FB7_F214A7424670_.wvu.FilterData" localSheetId="0" hidden="1">'2020-2022 год Приложение 3'!$A$15:$H$458</definedName>
    <definedName name="Z_9541036F_F24B_4BFA_BA55_4F7E3FB4DC04_.wvu.FilterData" localSheetId="1" hidden="1">'2020-2022 год Приложение  4'!$A$14:$I$490</definedName>
    <definedName name="Z_9541036F_F24B_4BFA_BA55_4F7E3FB4DC04_.wvu.FilterData" localSheetId="0" hidden="1">'2020-2022 год Приложение 3'!$A$15:$H$458</definedName>
    <definedName name="Z_9550964E_D481_4054_9F8C_4344C60CDD4A_.wvu.FilterData" localSheetId="0" hidden="1">'2020-2022 год Приложение 3'!$A$14:$H$378</definedName>
    <definedName name="Z_95B72C2D_CC9A_400B_A011_7820247D03F7_.wvu.FilterData" localSheetId="1" hidden="1">'2020-2022 год Приложение  4'!$A$15:$I$490</definedName>
    <definedName name="Z_95F78D10_2659_4A49_94A4_C59BF4D5E56F_.wvu.FilterData" localSheetId="1" hidden="1">'2020-2022 год Приложение  4'!$A$14:$I$499</definedName>
    <definedName name="Z_95F78D10_2659_4A49_94A4_C59BF4D5E56F_.wvu.FilterData" localSheetId="0" hidden="1">'2020-2022 год Приложение 3'!$A$14:$H$461</definedName>
    <definedName name="Z_9776ED21_FCCA_4C70_8D58_B20AFA9E14C0_.wvu.FilterData" localSheetId="1" hidden="1">'2020-2022 год Приложение  4'!$A$14:$I$500</definedName>
    <definedName name="Z_9776ED21_FCCA_4C70_8D58_B20AFA9E14C0_.wvu.FilterData" localSheetId="0" hidden="1">'2020-2022 год Приложение 3'!$A$14:$H$461</definedName>
    <definedName name="Z_98E9C9B7_1E4D_4C7A_85E5_63F3A1B86AE8_.wvu.FilterData" localSheetId="1" hidden="1">'2020-2022 год Приложение  4'!$A$14:$I$499</definedName>
    <definedName name="Z_98E9C9B7_1E4D_4C7A_85E5_63F3A1B86AE8_.wvu.FilterData" localSheetId="0" hidden="1">'2020-2022 год Приложение 3'!$A$14:$H$461</definedName>
    <definedName name="Z_9914A7EE_0EAB_42A1_82E0_3CEAC7F53865_.wvu.FilterData" localSheetId="1" hidden="1">'2020-2022 год Приложение  4'!$A$14:$I$499</definedName>
    <definedName name="Z_99FC1EBF_330F_4547_9164_04873F60525E_.wvu.FilterData" localSheetId="1" hidden="1">'2020-2022 год Приложение  4'!$A$14:$I$500</definedName>
    <definedName name="Z_99FC1EBF_330F_4547_9164_04873F60525E_.wvu.FilterData" localSheetId="0" hidden="1">'2020-2022 год Приложение 3'!$A$14:$H$461</definedName>
    <definedName name="Z_9AB446FD_945D_4029_AB03_06573FC1DEBE_.wvu.FilterData" localSheetId="1" hidden="1">'2020-2022 год Приложение  4'!$A$15:$I$490</definedName>
    <definedName name="Z_9AB446FD_945D_4029_AB03_06573FC1DEBE_.wvu.FilterData" localSheetId="0" hidden="1">'2020-2022 год Приложение 3'!$A$15:$H$458</definedName>
    <definedName name="Z_9B8BCBB1_0EDA_4E90_BBC4_165B2DE61ED6_.wvu.FilterData" localSheetId="0" hidden="1">'2020-2022 год Приложение 3'!$A$16:$H$378</definedName>
    <definedName name="Z_9BBC64C1_B8B2_47D2_A55F_A2F18B1F25B3_.wvu.FilterData" localSheetId="1" hidden="1">'2020-2022 год Приложение  4'!$A$14:$I$490</definedName>
    <definedName name="Z_9BBC64C1_B8B2_47D2_A55F_A2F18B1F25B3_.wvu.FilterData" localSheetId="0" hidden="1">'2020-2022 год Приложение 3'!$A$15:$C$458</definedName>
    <definedName name="Z_9DA27F9D_67A1_4DD1_8B09_A27C85D1E3A8_.wvu.FilterData" localSheetId="0" hidden="1">'2020-2022 год Приложение 3'!$A$15:$H$458</definedName>
    <definedName name="Z_9E25EEB0_68DE_4D84_AA9E_E153DF655F3F_.wvu.FilterData" localSheetId="1" hidden="1">'2020-2022 год Приложение  4'!$A$15:$D$490</definedName>
    <definedName name="Z_9EA355AC_ACF5_42D1_8703_ACB42E575811_.wvu.FilterData" localSheetId="1" hidden="1">'2020-2022 год Приложение  4'!$A$14:$I$490</definedName>
    <definedName name="Z_9EA355AC_ACF5_42D1_8703_ACB42E575811_.wvu.FilterData" localSheetId="0" hidden="1">'2020-2022 год Приложение 3'!$A$14:$H$458</definedName>
    <definedName name="Z_9EE5CA45_63F7_469B_B5F6_ADDF05EA3BC4_.wvu.FilterData" localSheetId="1" hidden="1">'2020-2022 год Приложение  4'!$A$15:$I$490</definedName>
    <definedName name="Z_9F1D7F01_07CC_4860_B0F3_FACC91FB0B8B_.wvu.FilterData" localSheetId="0" hidden="1">'2020-2022 год Приложение 3'!$A$16:$C$345</definedName>
    <definedName name="Z_9FED5B58_6DFB_4AED_9587_48FFDBC76219_.wvu.FilterData" localSheetId="1" hidden="1">'2020-2022 год Приложение  4'!$A$15:$D$490</definedName>
    <definedName name="Z_A19698F4_0C5B_4B92_B970_672ECC4A1352_.wvu.FilterData" localSheetId="1" hidden="1">'2020-2022 год Приложение  4'!$A$15:$D$490</definedName>
    <definedName name="Z_A19698F4_0C5B_4B92_B970_672ECC4A1352_.wvu.FilterData" localSheetId="0" hidden="1">'2020-2022 год Приложение 3'!$A$15:$H$458</definedName>
    <definedName name="Z_A23DBEB3_CF4F_4D6E_8207_D1E6A46A53CD_.wvu.FilterData" localSheetId="1" hidden="1">'2020-2022 год Приложение  4'!$A$15:$D$490</definedName>
    <definedName name="Z_A23DBEB3_CF4F_4D6E_8207_D1E6A46A53CD_.wvu.FilterData" localSheetId="0" hidden="1">'2020-2022 год Приложение 3'!$A$15:$H$458</definedName>
    <definedName name="Z_A2B31C78_84DB_47B8_A0ED_D9E400FC5E11_.wvu.FilterData" localSheetId="1" hidden="1">'2020-2022 год Приложение  4'!$A$15:$I$490</definedName>
    <definedName name="Z_A2B31C78_84DB_47B8_A0ED_D9E400FC5E11_.wvu.FilterData" localSheetId="0" hidden="1">'2020-2022 год Приложение 3'!$A$15:$H$458</definedName>
    <definedName name="Z_A2C96576_7AB3_44D9_A229_7E94A8E04F2E_.wvu.FilterData" localSheetId="1" hidden="1">'2020-2022 год Приложение  4'!$A$15:$I$490</definedName>
    <definedName name="Z_A3FFE833_C277_454E_9166_7F07320E9FFD_.wvu.FilterData" localSheetId="1" hidden="1">'2020-2022 год Приложение  4'!$A$14:$I$499</definedName>
    <definedName name="Z_A650396F_79B4_4B7C_9702_43CBED7DB898_.wvu.FilterData" localSheetId="1" hidden="1">'2020-2022 год Приложение  4'!$A$15:$I$490</definedName>
    <definedName name="Z_A684CA47_13FA_440D_A6B3_84C0D9EBAF01_.wvu.FilterData" localSheetId="1" hidden="1">'2020-2022 год Приложение  4'!$A$14:$I$500</definedName>
    <definedName name="Z_A6EDA6AB_892A_41FC_80E6_005AF0ECC3B0_.wvu.FilterData" localSheetId="1" hidden="1">'2020-2022 год Приложение  4'!$A$16:$I$490</definedName>
    <definedName name="Z_A6EDA6AB_892A_41FC_80E6_005AF0ECC3B0_.wvu.FilterData" localSheetId="0" hidden="1">'2020-2022 год Приложение 3'!$A$15:$H$458</definedName>
    <definedName name="Z_A7289A43_FAB0_4BBF_BE44_1FE7F38D66E2_.wvu.FilterData" localSheetId="0" hidden="1">'2020-2022 год Приложение 3'!$A$16:$C$345</definedName>
    <definedName name="Z_A78453D7_4783_4203_A315_20143C6D7080_.wvu.FilterData" localSheetId="0" hidden="1">'2020-2022 год Приложение 3'!$A$15:$H$458</definedName>
    <definedName name="Z_A7AB68EB_0C36_44AC_AFA4_D4EEDD6F2587_.wvu.FilterData" localSheetId="1" hidden="1">'2020-2022 год Приложение  4'!$A$15:$D$490</definedName>
    <definedName name="Z_A926D13F_0B0D_4E83_9405_D363E37D0348_.wvu.FilterData" localSheetId="0" hidden="1">'2020-2022 год Приложение 3'!$A$16:$C$345</definedName>
    <definedName name="Z_A9E291C5_5EEB_4FD7_BCBD_6208C6D7B0F8_.wvu.FilterData" localSheetId="1" hidden="1">'2020-2022 год Приложение  4'!$A$15:$D$490</definedName>
    <definedName name="Z_A9E291C5_5EEB_4FD7_BCBD_6208C6D7B0F8_.wvu.FilterData" localSheetId="0" hidden="1">'2020-2022 год Приложение 3'!$A$15:$H$458</definedName>
    <definedName name="Z_AA16F632_03F0_4A4A_8637_308586BF1014_.wvu.FilterData" localSheetId="1" hidden="1">'2020-2022 год Приложение  4'!$A$15:$I$490</definedName>
    <definedName name="Z_AA16F632_03F0_4A4A_8637_308586BF1014_.wvu.FilterData" localSheetId="0" hidden="1">'2020-2022 год Приложение 3'!$A$15:$H$458</definedName>
    <definedName name="Z_AA6057EE_23A0_4CF2_AC5C_D8F8A8ADD056_.wvu.FilterData" localSheetId="1" hidden="1">'2020-2022 год Приложение  4'!$A$15:$I$490</definedName>
    <definedName name="Z_AAC793E5_144D_410A_8279_F7946D2AF41A_.wvu.FilterData" localSheetId="0" hidden="1">'2020-2022 год Приложение 3'!$A$16:$C$345</definedName>
    <definedName name="Z_AC409584_A196_49FC_BDC2_CC1BE8FBC165_.wvu.FilterData" localSheetId="1" hidden="1">'2020-2022 год Приложение  4'!$A$14:$I$499</definedName>
    <definedName name="Z_AC409584_A196_49FC_BDC2_CC1BE8FBC165_.wvu.FilterData" localSheetId="0" hidden="1">'2020-2022 год Приложение 3'!$A$14:$H$461</definedName>
    <definedName name="Z_AC48D3A8_B7CA_451A_A38E_67C9ECA74CDF_.wvu.FilterData" localSheetId="1" hidden="1">'2020-2022 год Приложение  4'!$A$14:$I$500</definedName>
    <definedName name="Z_AC48D3A8_B7CA_451A_A38E_67C9ECA74CDF_.wvu.FilterData" localSheetId="0" hidden="1">'2020-2022 год Приложение 3'!$A$14:$H$461</definedName>
    <definedName name="Z_AC9AFD28_10D8_4670_A912_DDB893A211D1_.wvu.FilterData" localSheetId="1" hidden="1">'2020-2022 год Приложение  4'!$A$15:$I$490</definedName>
    <definedName name="Z_AC9AFD28_10D8_4670_A912_DDB893A211D1_.wvu.FilterData" localSheetId="0" hidden="1">'2020-2022 год Приложение 3'!$A$15:$H$458</definedName>
    <definedName name="Z_AE730581_F9A0_4649_A160_E986DBCDA19C_.wvu.FilterData" localSheetId="1" hidden="1">'2020-2022 год Приложение  4'!$A$14:$I$490</definedName>
    <definedName name="Z_AE730581_F9A0_4649_A160_E986DBCDA19C_.wvu.FilterData" localSheetId="0" hidden="1">'2020-2022 год Приложение 3'!$A$14:$H$458</definedName>
    <definedName name="Z_AEAAA827_A478_40B0_A7FF_D15F11FB2E21_.wvu.FilterData" localSheetId="1" hidden="1">'2020-2022 год Приложение  4'!$A$14:$I$500</definedName>
    <definedName name="Z_AF73B45C_3F4E_4B87_A9E2_DBD75C02FF68_.wvu.FilterData" localSheetId="1" hidden="1">'2020-2022 год Приложение  4'!$A$15:$D$490</definedName>
    <definedName name="Z_AF73B45C_3F4E_4B87_A9E2_DBD75C02FF68_.wvu.FilterData" localSheetId="0" hidden="1">'2020-2022 год Приложение 3'!$A$15:$C$458</definedName>
    <definedName name="Z_B08CC75C_6520_459E_99DC_BAAC09133FAE_.wvu.FilterData" localSheetId="1" hidden="1">'2020-2022 год Приложение  4'!$A$14:$I$500</definedName>
    <definedName name="Z_B08CC75C_6520_459E_99DC_BAAC09133FAE_.wvu.FilterData" localSheetId="0" hidden="1">'2020-2022 год Приложение 3'!$A$14:$H$461</definedName>
    <definedName name="Z_B0C8B420_7FC9_4415_952A_23BA0049B056_.wvu.FilterData" localSheetId="0" hidden="1">'2020-2022 год Приложение 3'!$A$15:$H$458</definedName>
    <definedName name="Z_B125367F_1C96_4D35_827A_DEFEE1EF481C_.wvu.FilterData" localSheetId="1" hidden="1">'2020-2022 год Приложение  4'!$A$15:$D$490</definedName>
    <definedName name="Z_B2BE6FF1_1A6A_41C1_B750_4A039DB9402A_.wvu.FilterData" localSheetId="1" hidden="1">'2020-2022 год Приложение  4'!$A$14:$I$499</definedName>
    <definedName name="Z_B4720A5E_D111_4DAF_9BEC_44A0CF0E4C3E_.wvu.FilterData" localSheetId="1" hidden="1">'2020-2022 год Приложение  4'!$A$14:$I$499</definedName>
    <definedName name="Z_B55F0053_78CA_4F7F_BE68_6C331A853EC7_.wvu.FilterData" localSheetId="1" hidden="1">'2020-2022 год Приложение  4'!$A$16:$I$490</definedName>
    <definedName name="Z_B5E7EAA6_F6B2_4C43_A1B2_7FE8D3EE81A8_.wvu.FilterData" localSheetId="1" hidden="1">'2020-2022 год Приложение  4'!$A$15:$D$490</definedName>
    <definedName name="Z_B5E7EAA6_F6B2_4C43_A1B2_7FE8D3EE81A8_.wvu.FilterData" localSheetId="0" hidden="1">'2020-2022 год Приложение 3'!$A$15:$H$458</definedName>
    <definedName name="Z_B6562E8F_88DB_497F_BA23_0DE6FC564B31_.wvu.FilterData" localSheetId="1" hidden="1">'2020-2022 год Приложение  4'!$A$15:$I$490</definedName>
    <definedName name="Z_B79814D9_4A76_444F_9DA0_87988C6053D6_.wvu.FilterData" localSheetId="0" hidden="1">'2020-2022 год Приложение 3'!$A$15:$H$458</definedName>
    <definedName name="Z_B7C6B096_F822_4AE0_9104_276895CD530C_.wvu.FilterData" localSheetId="1" hidden="1">'2020-2022 год Приложение  4'!$A$14:$I$14</definedName>
    <definedName name="Z_B7E8C950_FC48_4F46_94EB_50E3D7BDDB48_.wvu.FilterData" localSheetId="1" hidden="1">'2020-2022 год Приложение  4'!$A$15:$D$490</definedName>
    <definedName name="Z_B8EDFF0D_BD56_41DB_976F_5ECF9742594D_.wvu.FilterData" localSheetId="1" hidden="1">'2020-2022 год Приложение  4'!$A$14:$I$500</definedName>
    <definedName name="Z_B9062BA9_20A5_4989_AABF_19FE6A65537B_.wvu.FilterData" localSheetId="1" hidden="1">'2020-2022 год Приложение  4'!$A$15:$I$490</definedName>
    <definedName name="Z_B9062BA9_20A5_4989_AABF_19FE6A65537B_.wvu.FilterData" localSheetId="0" hidden="1">'2020-2022 год Приложение 3'!$A$15:$H$458</definedName>
    <definedName name="Z_BA317F1F_BE01_441F_A8B2_85F003BF75B2_.wvu.FilterData" localSheetId="1" hidden="1">'2020-2022 год Приложение  4'!$A$14:$I$490</definedName>
    <definedName name="Z_BAD29CC1_017D_4FFA_A3BF_7A1E31D01FD0_.wvu.FilterData" localSheetId="1" hidden="1">'2020-2022 год Приложение  4'!$A$14:$I$500</definedName>
    <definedName name="Z_BBFF5A56_64CF_4223_9245_057727E8F581_.wvu.FilterData" localSheetId="1" hidden="1">'2020-2022 год Приложение  4'!$A$15:$D$490</definedName>
    <definedName name="Z_BBFF5A56_64CF_4223_9245_057727E8F581_.wvu.FilterData" localSheetId="0" hidden="1">'2020-2022 год Приложение 3'!$A$15:$H$458</definedName>
    <definedName name="Z_BCB9EA5D_CB3A_40AA_BF75_F228AA2D84CC_.wvu.FilterData" localSheetId="1" hidden="1">'2020-2022 год Приложение  4'!$A$15:$D$490</definedName>
    <definedName name="Z_BCB9EA5D_CB3A_40AA_BF75_F228AA2D84CC_.wvu.FilterData" localSheetId="0" hidden="1">'2020-2022 год Приложение 3'!$A$15:$H$458</definedName>
    <definedName name="Z_BCEB75BA_FE87_41C8_80D7_AFB8A63EA641_.wvu.FilterData" localSheetId="1" hidden="1">'2020-2022 год Приложение  4'!$A$15:$I$490</definedName>
    <definedName name="Z_BD54A361_8DC5_477E_AEB8_9AAE45BFB9EE_.wvu.FilterData" localSheetId="1" hidden="1">'2020-2022 год Приложение  4'!$A$15:$D$490</definedName>
    <definedName name="Z_C0C47C63_1E7E_4B25_A29F_CD7550CA823B_.wvu.FilterData" localSheetId="0" hidden="1">'2020-2022 год Приложение 3'!$A$14:$H$378</definedName>
    <definedName name="Z_C0D29360_FD13_4973_8E33_952A22BF16EB_.wvu.FilterData" localSheetId="1" hidden="1">'2020-2022 год Приложение  4'!$A$15:$D$15</definedName>
    <definedName name="Z_C1DDAE5D_89BA_4C96_A938_93F9E8D51819_.wvu.FilterData" localSheetId="1" hidden="1">'2020-2022 год Приложение  4'!$A$15:$D$15</definedName>
    <definedName name="Z_C2DC1AAD_1A3D_4B7B_8D2B_551AC59D6585_.wvu.FilterData" localSheetId="1" hidden="1">'2020-2022 год Приложение  4'!$A$15:$D$490</definedName>
    <definedName name="Z_C407E330_1B3A_4158_9E62_5ED9582C72C0_.wvu.FilterData" localSheetId="1" hidden="1">'2020-2022 год Приложение  4'!$A$16:$I$490</definedName>
    <definedName name="Z_C451BE02_D07A_4202_8119_07874C1FBE8D_.wvu.FilterData" localSheetId="1" hidden="1">'2020-2022 год Приложение  4'!$A$14:$I$500</definedName>
    <definedName name="Z_C451BE02_D07A_4202_8119_07874C1FBE8D_.wvu.FilterData" localSheetId="0" hidden="1">'2020-2022 год Приложение 3'!$A$14:$H$461</definedName>
    <definedName name="Z_C594D5C5_096D_4C18_BDCB_87F0485F5449_.wvu.FilterData" localSheetId="1" hidden="1">'2020-2022 год Приложение  4'!$A$16:$I$490</definedName>
    <definedName name="Z_C594D5C5_096D_4C18_BDCB_87F0485F5449_.wvu.FilterData" localSheetId="0" hidden="1">'2020-2022 год Приложение 3'!$A$15:$H$458</definedName>
    <definedName name="Z_C63DF42A_916D_43B0_A9E5_99FBCC943E02_.wvu.FilterData" localSheetId="0" hidden="1">'2020-2022 год Приложение 3'!$A$16:$H$378</definedName>
    <definedName name="Z_C6C561F1_23DA_4564_A66A_06C65CDB6B42_.wvu.FilterData" localSheetId="1" hidden="1">'2020-2022 год Приложение  4'!$A$15:$I$490</definedName>
    <definedName name="Z_C9208FB7_BF46_4777_ADFF_D59A4811FEA6_.wvu.FilterData" localSheetId="1" hidden="1">'2020-2022 год Приложение  4'!$A$14:$I$499</definedName>
    <definedName name="Z_CA26A0F4_943F_4D04_8E22_7943168C3B0E_.wvu.FilterData" localSheetId="1" hidden="1">'2020-2022 год Приложение  4'!$A$15:$I$490</definedName>
    <definedName name="Z_CA26A0F4_943F_4D04_8E22_7943168C3B0E_.wvu.FilterData" localSheetId="0" hidden="1">'2020-2022 год Приложение 3'!$A$15:$H$458</definedName>
    <definedName name="Z_CAD9B980_130C_4C75_8D5E_91DE2723F8D9_.wvu.FilterData" localSheetId="1" hidden="1">'2020-2022 год Приложение  4'!$A$14:$I$499</definedName>
    <definedName name="Z_CAEC251A_F30C_4C3C_B95E_0CDCABBBBBA6_.wvu.FilterData" localSheetId="1" hidden="1">'2020-2022 год Приложение  4'!$A$14:$I$490</definedName>
    <definedName name="Z_CAEC251A_F30C_4C3C_B95E_0CDCABBBBBA6_.wvu.FilterData" localSheetId="0" hidden="1">'2020-2022 год Приложение 3'!$A$14:$H$458</definedName>
    <definedName name="Z_CB37C154_FBD2_4DEC_B34C_F8AEB86FD5EB_.wvu.FilterData" localSheetId="0" hidden="1">'2020-2022 год Приложение 3'!$A$15:$H$458</definedName>
    <definedName name="Z_CD2CCFCC_88E6_48CB_A6F4_90932EB4E776_.wvu.FilterData" localSheetId="0" hidden="1">'2020-2022 год Приложение 3'!$A$14:$H$461</definedName>
    <definedName name="Z_CD629787_DE9E_41E9_98D2_872390B88852_.wvu.FilterData" localSheetId="1" hidden="1">'2020-2022 год Приложение  4'!$A$15:$D$490</definedName>
    <definedName name="Z_CE6755E8_8FFD_448B_B838_FFE6BD017EDF_.wvu.FilterData" localSheetId="1" hidden="1">'2020-2022 год Приложение  4'!$A$15:$D$490</definedName>
    <definedName name="Z_CED2E9B6_1773_495E_A3FD_92F54F21EE7D_.wvu.FilterData" localSheetId="1" hidden="1">'2020-2022 год Приложение  4'!$A$14:$I$490</definedName>
    <definedName name="Z_CF7852E9_12A8_41A3_B1FA_248F70E5DC37_.wvu.FilterData" localSheetId="1" hidden="1">'2020-2022 год Приложение  4'!$A$14:$I$490</definedName>
    <definedName name="Z_CF7852E9_12A8_41A3_B1FA_248F70E5DC37_.wvu.FilterData" localSheetId="0" hidden="1">'2020-2022 год Приложение 3'!$A$14:$H$458</definedName>
    <definedName name="Z_CFA27E48_EF86_47F4_863F_538AA3EEF788_.wvu.FilterData" localSheetId="1" hidden="1">'2020-2022 год Приложение  4'!$A$14:$I$499</definedName>
    <definedName name="Z_CFA27E48_EF86_47F4_863F_538AA3EEF788_.wvu.FilterData" localSheetId="0" hidden="1">'2020-2022 год Приложение 3'!$A$14:$H$461</definedName>
    <definedName name="Z_D1B917BC_3220_432E_A965_9E7239D6A385_.wvu.FilterData" localSheetId="0" hidden="1">'2020-2022 год Приложение 3'!$A$15:$H$378</definedName>
    <definedName name="Z_D332CE7B_8FED_469E_B7FC_36551D17288B_.wvu.FilterData" localSheetId="1" hidden="1">'2020-2022 год Приложение  4'!$A$14:$I$499</definedName>
    <definedName name="Z_D332CE7B_8FED_469E_B7FC_36551D17288B_.wvu.FilterData" localSheetId="0" hidden="1">'2020-2022 год Приложение 3'!$A$14:$H$461</definedName>
    <definedName name="Z_D421EC68_493A_426D_B030_A96CEFC9CDF1_.wvu.FilterData" localSheetId="1" hidden="1">'2020-2022 год Приложение  4'!$A$14:$I$499</definedName>
    <definedName name="Z_D421EC68_493A_426D_B030_A96CEFC9CDF1_.wvu.FilterData" localSheetId="0" hidden="1">'2020-2022 год Приложение 3'!$A$14:$H$461</definedName>
    <definedName name="Z_D5EF0624_71F9_4E2C_8E53_8D3ED1028A48_.wvu.FilterData" localSheetId="1" hidden="1">'2020-2022 год Приложение  4'!$A$14:$I$499</definedName>
    <definedName name="Z_D5FAF748_0D0C_4359_BAF7_A8AC21E2030F_.wvu.FilterData" localSheetId="0" hidden="1">'2020-2022 год Приложение 3'!$A$15:$H$458</definedName>
    <definedName name="Z_D6B20A4C_3000_441D_8208_F24778DE96F0_.wvu.FilterData" localSheetId="1" hidden="1">'2020-2022 год Приложение  4'!$A$15:$I$490</definedName>
    <definedName name="Z_D7D5F00E_6389_4DE2_B414_F39C8294F181_.wvu.FilterData" localSheetId="1" hidden="1">'2020-2022 год Приложение  4'!$A$15:$I$499</definedName>
    <definedName name="Z_D7D5F00E_6389_4DE2_B414_F39C8294F181_.wvu.FilterData" localSheetId="0" hidden="1">'2020-2022 год Приложение 3'!$A$15:$H$461</definedName>
    <definedName name="Z_D7D5F00E_6389_4DE2_B414_F39C8294F181_.wvu.PrintArea" localSheetId="1" hidden="1">'2020-2022 год Приложение  4'!$A$6:$I$499</definedName>
    <definedName name="Z_D7D5F00E_6389_4DE2_B414_F39C8294F181_.wvu.PrintArea" localSheetId="0" hidden="1">'2020-2022 год Приложение 3'!$A$6:$H$461</definedName>
    <definedName name="Z_D7D5F00E_6389_4DE2_B414_F39C8294F181_.wvu.Rows" localSheetId="1" hidden="1">'2020-2022 год Приложение  4'!#REF!,'2020-2022 год Приложение  4'!#REF!</definedName>
    <definedName name="Z_D896FC5A_220E_437B_9865_C5F08B72A8E9_.wvu.FilterData" localSheetId="1" hidden="1">'2020-2022 год Приложение  4'!$A$14:$I$499</definedName>
    <definedName name="Z_DA0D119F_FE1B_486D_AB08_72CEBEF8134D_.wvu.FilterData" localSheetId="1" hidden="1">'2020-2022 год Приложение  4'!$A$15:$I$499</definedName>
    <definedName name="Z_DA0D119F_FE1B_486D_AB08_72CEBEF8134D_.wvu.FilterData" localSheetId="0" hidden="1">'2020-2022 год Приложение 3'!$A$15:$H$461</definedName>
    <definedName name="Z_DA10F9D2_08DA_4FB8_967C_06A319AB7BED_.wvu.FilterData" localSheetId="1" hidden="1">'2020-2022 год Приложение  4'!$A$15:$D$490</definedName>
    <definedName name="Z_DA9CA7EB_CE82_4121_9528_DE61DCF62070_.wvu.FilterData" localSheetId="1" hidden="1">'2020-2022 год Приложение  4'!$A$15:$I$499</definedName>
    <definedName name="Z_DC2B6D6A_5855_4ADC_BC8B_920453EADA59_.wvu.FilterData" localSheetId="1" hidden="1">'2020-2022 год Приложение  4'!$A$15:$I$490</definedName>
    <definedName name="Z_DC2B6D6A_5855_4ADC_BC8B_920453EADA59_.wvu.FilterData" localSheetId="0" hidden="1">'2020-2022 год Приложение 3'!$A$15:$H$458</definedName>
    <definedName name="Z_DC642106_6C11_487B_A10A_67D65C44C59E_.wvu.FilterData" localSheetId="1" hidden="1">'2020-2022 год Приложение  4'!$A$15:$D$490</definedName>
    <definedName name="Z_DCF96CC6_5C5B_45A8_86D6_BEC596ACACBF_.wvu.FilterData" localSheetId="1" hidden="1">'2020-2022 год Приложение  4'!$A$14:$I$500</definedName>
    <definedName name="Z_DCF96CC6_5C5B_45A8_86D6_BEC596ACACBF_.wvu.FilterData" localSheetId="0" hidden="1">'2020-2022 год Приложение 3'!$A$14:$H$461</definedName>
    <definedName name="Z_DD0B6CDA_0CA4_4F8A_901A_ADCD63EDDDE7_.wvu.FilterData" localSheetId="1" hidden="1">'2020-2022 год Приложение  4'!$A$14:$I$499</definedName>
    <definedName name="Z_DD3E849F_1E69_44B8_A26B_C4303C0995B8_.wvu.FilterData" localSheetId="1" hidden="1">'2020-2022 год Приложение  4'!$A$14:$I$499</definedName>
    <definedName name="Z_DDD8C4AB_CB3C_48E6_9763_42557181A0AF_.wvu.FilterData" localSheetId="1" hidden="1">'2020-2022 год Приложение  4'!$A$14:$I$499</definedName>
    <definedName name="Z_DDD8C4AB_CB3C_48E6_9763_42557181A0AF_.wvu.FilterData" localSheetId="0" hidden="1">'2020-2022 год Приложение 3'!$A$14:$H$461</definedName>
    <definedName name="Z_DEE0439B_F189_4C4A_8D12_38A34AC49EBA_.wvu.FilterData" localSheetId="1" hidden="1">'2020-2022 год Приложение  4'!$A$15:$I$490</definedName>
    <definedName name="Z_DEE0439B_F189_4C4A_8D12_38A34AC49EBA_.wvu.FilterData" localSheetId="0" hidden="1">'2020-2022 год Приложение 3'!$A$15:$H$458</definedName>
    <definedName name="Z_DF131833_6B4D_4544_961B_059267821E4F_.wvu.FilterData" localSheetId="0" hidden="1">'2020-2022 год Приложение 3'!$A$14:$H$461</definedName>
    <definedName name="Z_E12E1E2F_DB5D_4E26_AA0F_64A30D7CB250_.wvu.FilterData" localSheetId="1" hidden="1">'2020-2022 год Приложение  4'!$A$15:$I$490</definedName>
    <definedName name="Z_E240582D_2C49_4E51_9BAF_4EB73E148DD3_.wvu.FilterData" localSheetId="1" hidden="1">'2020-2022 год Приложение  4'!$A$14:$I$499</definedName>
    <definedName name="Z_E240582D_2C49_4E51_9BAF_4EB73E148DD3_.wvu.FilterData" localSheetId="0" hidden="1">'2020-2022 год Приложение 3'!$A$14:$H$461</definedName>
    <definedName name="Z_E3C6713E_8023_4AA9_8A29_3AE879C33232_.wvu.FilterData" localSheetId="1" hidden="1">'2020-2022 год Приложение  4'!$A$15:$D$490</definedName>
    <definedName name="Z_E5281637_3B26_479E_BF0F_EBD3A6ED1870_.wvu.FilterData" localSheetId="1" hidden="1">'2020-2022 год Приложение  4'!$A$14:$I$490</definedName>
    <definedName name="Z_E5281637_3B26_479E_BF0F_EBD3A6ED1870_.wvu.FilterData" localSheetId="0" hidden="1">'2020-2022 год Приложение 3'!$A$14:$H$458</definedName>
    <definedName name="Z_E990C79A_B7E6_4BEB_A0C0_67D434423C16_.wvu.FilterData" localSheetId="1" hidden="1">'2020-2022 год Приложение  4'!$A$14:$I$499</definedName>
    <definedName name="Z_E99CA35F_295B_49B3_8AA9_D1FBDEF4F038_.wvu.FilterData" localSheetId="1" hidden="1">'2020-2022 год Приложение  4'!$A$15:$D$490</definedName>
    <definedName name="Z_E99CA35F_295B_49B3_8AA9_D1FBDEF4F038_.wvu.FilterData" localSheetId="0" hidden="1">'2020-2022 год Приложение 3'!$A$15:$C$458</definedName>
    <definedName name="Z_EA7E325E_E9C4_43C2_8F94_8A4CD3295385_.wvu.FilterData" localSheetId="1" hidden="1">'2020-2022 год Приложение  4'!$A$14:$I$490</definedName>
    <definedName name="Z_EA7E325E_E9C4_43C2_8F94_8A4CD3295385_.wvu.FilterData" localSheetId="0" hidden="1">'2020-2022 год Приложение 3'!$A$14:$H$458</definedName>
    <definedName name="Z_EA7E325E_E9C4_43C2_8F94_8A4CD3295385_.wvu.PrintArea" localSheetId="1" hidden="1">'2020-2022 год Приложение  4'!$A$10:$D$490</definedName>
    <definedName name="Z_EA7E325E_E9C4_43C2_8F94_8A4CD3295385_.wvu.PrintArea" localSheetId="0" hidden="1">'2020-2022 год Приложение 3'!$A$11:$C$458</definedName>
    <definedName name="Z_EA7E325E_E9C4_43C2_8F94_8A4CD3295385_.wvu.Rows" localSheetId="1" hidden="1">'2020-2022 год Приложение  4'!#REF!,'2020-2022 год Приложение  4'!#REF!</definedName>
    <definedName name="Z_EA8E9EA7_8D3C_4793_82D3_53C8283F6613_.wvu.FilterData" localSheetId="1" hidden="1">'2020-2022 год Приложение  4'!$A$15:$D$490</definedName>
    <definedName name="Z_EA8E9EA7_8D3C_4793_82D3_53C8283F6613_.wvu.FilterData" localSheetId="0" hidden="1">'2020-2022 год Приложение 3'!$A$15:$C$458</definedName>
    <definedName name="Z_EB1F9754_81A4_4300_9136_C4584DE5BB80_.wvu.FilterData" localSheetId="1" hidden="1">'2020-2022 год Приложение  4'!$A$16:$I$490</definedName>
    <definedName name="Z_EB1F9754_81A4_4300_9136_C4584DE5BB80_.wvu.FilterData" localSheetId="0" hidden="1">'2020-2022 год Приложение 3'!$A$15:$H$458</definedName>
    <definedName name="Z_EB8BBF6B_ABBD_4A01_B4CD_F80BF70D79AB_.wvu.FilterData" localSheetId="1" hidden="1">'2020-2022 год Приложение  4'!$A$15:$D$490</definedName>
    <definedName name="Z_EB902B7F_40F5_460F_ABE7_94D27697DCD2_.wvu.FilterData" localSheetId="1" hidden="1">'2020-2022 год Приложение  4'!$A$14:$I$500</definedName>
    <definedName name="Z_EC1C063C_6B0A_462C_AA57_E835F386C4D8_.wvu.FilterData" localSheetId="1" hidden="1">'2020-2022 год Приложение  4'!$A$15:$I$490</definedName>
    <definedName name="Z_EC62E557_0DAE_4118_92A6_3EE6AFDCD76F_.wvu.FilterData" localSheetId="1" hidden="1">'2020-2022 год Приложение  4'!$A$15:$I$490</definedName>
    <definedName name="Z_EC9FAB42_CFD7_4909_BE7F_FD2C891BCFAA_.wvu.FilterData" localSheetId="1" hidden="1">'2020-2022 год Приложение  4'!$A$14:$I$500</definedName>
    <definedName name="Z_ED7D03B9_EBA8_422D_9F4A_BBCCD5E098E3_.wvu.FilterData" localSheetId="0" hidden="1">'2020-2022 год Приложение 3'!$A$15:$H$458</definedName>
    <definedName name="Z_EE33F828_B63A_481B_8687_E404D78A8D56_.wvu.FilterData" localSheetId="1" hidden="1">'2020-2022 год Приложение  4'!$A$15:$I$490</definedName>
    <definedName name="Z_EE33F828_B63A_481B_8687_E404D78A8D56_.wvu.FilterData" localSheetId="0" hidden="1">'2020-2022 год Приложение 3'!$A$15:$H$458</definedName>
    <definedName name="Z_EE53859B_FE05_4C3A_A7A2_3194FEB77133_.wvu.FilterData" localSheetId="1" hidden="1">'2020-2022 год Приложение  4'!$A$14:$I$500</definedName>
    <definedName name="Z_EE53859B_FE05_4C3A_A7A2_3194FEB77133_.wvu.FilterData" localSheetId="0" hidden="1">'2020-2022 год Приложение 3'!$A$14:$H$461</definedName>
    <definedName name="Z_EE6CA251_6B69_472A_B296_79ECBA0484F6_.wvu.FilterData" localSheetId="1" hidden="1">'2020-2022 год Приложение  4'!$A$14:$I$500</definedName>
    <definedName name="Z_EEC30518_9714_4AA4_827B_01087315CFA0_.wvu.FilterData" localSheetId="1" hidden="1">'2020-2022 год Приложение  4'!$A$14:$I$499</definedName>
    <definedName name="Z_EF28A7F6_07C1_44F5_95B6_7AF15BBCE0BC_.wvu.FilterData" localSheetId="1" hidden="1">'2020-2022 год Приложение  4'!$A$14:$I$500</definedName>
    <definedName name="Z_EF28A7F6_07C1_44F5_95B6_7AF15BBCE0BC_.wvu.FilterData" localSheetId="0" hidden="1">'2020-2022 год Приложение 3'!$A$14:$H$461</definedName>
    <definedName name="Z_EFF178E8_C8AC_47EC_827A_692B15ACBD0B_.wvu.FilterData" localSheetId="1" hidden="1">'2020-2022 год Приложение  4'!$A$15:$I$490</definedName>
    <definedName name="Z_F09B2707_B73D_4942_B4CA_A55AC32797B2_.wvu.FilterData" localSheetId="1" hidden="1">'2020-2022 год Приложение  4'!$A$15:$I$490</definedName>
    <definedName name="Z_F09B2707_B73D_4942_B4CA_A55AC32797B2_.wvu.FilterData" localSheetId="0" hidden="1">'2020-2022 год Приложение 3'!$A$15:$H$458</definedName>
    <definedName name="Z_F0AEB904_EDFD_4DA8_8E45_5B132DA87D24_.wvu.FilterData" localSheetId="1" hidden="1">'2020-2022 год Приложение  4'!$A$15:$D$490</definedName>
    <definedName name="Z_F1372657_B6AE_480B_8DA3_6532FF661EAB_.wvu.FilterData" localSheetId="1" hidden="1">'2020-2022 год Приложение  4'!$A$14:$I$499</definedName>
    <definedName name="Z_F1E5C7C7_BAE3_458A_84FB_35E70B388DF5_.wvu.FilterData" localSheetId="0" hidden="1">'2020-2022 год Приложение 3'!$A$16:$C$345</definedName>
    <definedName name="Z_F2D73FE4_6090_4823_9E0A_6635C4F688A6_.wvu.FilterData" localSheetId="1" hidden="1">'2020-2022 год Приложение  4'!$A$14:$I$499</definedName>
    <definedName name="Z_F2D73FE4_6090_4823_9E0A_6635C4F688A6_.wvu.FilterData" localSheetId="0" hidden="1">'2020-2022 год Приложение 3'!$A$14:$H$461</definedName>
    <definedName name="Z_F33373D5_C5C4_4F71_813A_379961506D46_.wvu.FilterData" localSheetId="0" hidden="1">'2020-2022 год Приложение 3'!$A$15:$H$458</definedName>
    <definedName name="Z_F3347612_A29B_4BB4_8F79_0B6F36DACEBB_.wvu.FilterData" localSheetId="1" hidden="1">'2020-2022 год Приложение  4'!$A$14:$I$490</definedName>
    <definedName name="Z_F3347612_A29B_4BB4_8F79_0B6F36DACEBB_.wvu.FilterData" localSheetId="0" hidden="1">'2020-2022 год Приложение 3'!$A$15:$H$458</definedName>
    <definedName name="Z_F3917087_C60D_4FB0_BADF_E449A9F0B1A5_.wvu.FilterData" localSheetId="1" hidden="1">'2020-2022 год Приложение  4'!$A$14:$I$500</definedName>
    <definedName name="Z_F3A2613F_3886_4231_B2F0_9C473830612B_.wvu.FilterData" localSheetId="1" hidden="1">'2020-2022 год Приложение  4'!$A$14:$I$500</definedName>
    <definedName name="Z_F3A2613F_3886_4231_B2F0_9C473830612B_.wvu.FilterData" localSheetId="0" hidden="1">'2020-2022 год Приложение 3'!$A$14:$H$461</definedName>
    <definedName name="Z_F3FBA5D4_522A_4E95_B407_653351A6F444_.wvu.FilterData" localSheetId="1" hidden="1">'2020-2022 год Приложение  4'!$A$15:$I$490</definedName>
    <definedName name="Z_F3FBA5D4_522A_4E95_B407_653351A6F444_.wvu.FilterData" localSheetId="0" hidden="1">'2020-2022 год Приложение 3'!$A$15:$H$458</definedName>
    <definedName name="Z_F5243B7A_D732_476C_80EE_A8F8DF8ABC14_.wvu.FilterData" localSheetId="1" hidden="1">'2020-2022 год Приложение  4'!$A$15:$I$499</definedName>
    <definedName name="Z_F5243B7A_D732_476C_80EE_A8F8DF8ABC14_.wvu.FilterData" localSheetId="0" hidden="1">'2020-2022 год Приложение 3'!$A$15:$H$461</definedName>
    <definedName name="Z_F6122843_35FD_4DE2_8960_1676DA0EFE93_.wvu.FilterData" localSheetId="0" hidden="1">'2020-2022 год Приложение 3'!$A$16:$C$345</definedName>
    <definedName name="Z_F77A56A8_A75D_4749_83E7_A46F30372FC7_.wvu.FilterData" localSheetId="0" hidden="1">'2020-2022 год Приложение 3'!$A$16:$C$345</definedName>
    <definedName name="Z_F83E4966_D4D0_48CB_AC08_347FD211344F_.wvu.FilterData" localSheetId="0" hidden="1">'2020-2022 год Приложение 3'!$A$15:$H$458</definedName>
    <definedName name="Z_F890EF21_D7E1_4A9B_9CE1_7F9B34521531_.wvu.FilterData" localSheetId="1" hidden="1">'2020-2022 год Приложение  4'!$A$15:$I$490</definedName>
    <definedName name="Z_F890EF21_D7E1_4A9B_9CE1_7F9B34521531_.wvu.FilterData" localSheetId="0" hidden="1">'2020-2022 год Приложение 3'!$A$15:$H$458</definedName>
    <definedName name="Z_F92366B3_1E4C_4F07_BE03_7D9A3E83484E_.wvu.FilterData" localSheetId="1" hidden="1">'2020-2022 год Приложение  4'!$A$14:$I$499</definedName>
    <definedName name="Z_F92366B3_1E4C_4F07_BE03_7D9A3E83484E_.wvu.FilterData" localSheetId="0" hidden="1">'2020-2022 год Приложение 3'!$A$14:$H$461</definedName>
    <definedName name="Z_F9510B3D_5733_4A2F_AD41_8D719DE08040_.wvu.FilterData" localSheetId="1" hidden="1">'2020-2022 год Приложение  4'!$A$15:$D$490</definedName>
    <definedName name="Z_F9510B3D_5733_4A2F_AD41_8D719DE08040_.wvu.FilterData" localSheetId="0" hidden="1">'2020-2022 год Приложение 3'!$A$15:$H$458</definedName>
    <definedName name="Z_F9510B3D_5733_4A2F_AD41_8D719DE08040_.wvu.PrintArea" localSheetId="1" hidden="1">'2020-2022 год Приложение  4'!$A$10:$D$490</definedName>
    <definedName name="Z_F9510B3D_5733_4A2F_AD41_8D719DE08040_.wvu.PrintArea" localSheetId="0" hidden="1">'2020-2022 год Приложение 3'!$A$11:$C$458</definedName>
    <definedName name="Z_FAC801BB_0465_4542_B993_A049D91D595D_.wvu.FilterData" localSheetId="1" hidden="1">'2020-2022 год Приложение  4'!$A$14:$I$499</definedName>
    <definedName name="Z_FAC801BB_0465_4542_B993_A049D91D595D_.wvu.FilterData" localSheetId="0" hidden="1">'2020-2022 год Приложение 3'!$A$14:$H$461</definedName>
    <definedName name="Z_FAEB8D12_6F02_4D2A_85DF_FFFD885E80DE_.wvu.FilterData" localSheetId="1" hidden="1">'2020-2022 год Приложение  4'!$A$15:$D$490</definedName>
    <definedName name="Z_FAEB8D12_6F02_4D2A_85DF_FFFD885E80DE_.wvu.FilterData" localSheetId="0" hidden="1">'2020-2022 год Приложение 3'!$A$15:$H$458</definedName>
    <definedName name="Z_FCCBE0E7_FEEA_4B4A_9B43_3BC14B324A55_.wvu.FilterData" localSheetId="1" hidden="1">'2020-2022 год Приложение  4'!$A$15:$I$490</definedName>
    <definedName name="Z_FDEE7B05_15CA_4134_A2FC_6810A57397E6_.wvu.FilterData" localSheetId="1" hidden="1">'2020-2022 год Приложение  4'!$A$14:$I$500</definedName>
    <definedName name="Z_FFA87C71_667A_4282_B3E9_0239568B872F_.wvu.FilterData" localSheetId="1" hidden="1">'2020-2022 год Приложение  4'!$A$15:$I$490</definedName>
    <definedName name="Z_FFA87C71_667A_4282_B3E9_0239568B872F_.wvu.FilterData" localSheetId="0" hidden="1">'2020-2022 год Приложение 3'!$A$15:$H$458</definedName>
    <definedName name="_xlnm.Print_Titles" localSheetId="1">'2020-2022 год Приложение  4'!$13:$14</definedName>
    <definedName name="_xlnm.Print_Area" localSheetId="1">'2020-2022 год Приложение  4'!$A$1:$I$499</definedName>
  </definedNames>
  <calcPr fullCalcOnLoad="1"/>
</workbook>
</file>

<file path=xl/sharedStrings.xml><?xml version="1.0" encoding="utf-8"?>
<sst xmlns="http://schemas.openxmlformats.org/spreadsheetml/2006/main" count="2925" uniqueCount="479">
  <si>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</si>
  <si>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</si>
  <si>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</si>
  <si>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</si>
  <si>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</si>
  <si>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</si>
  <si>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</si>
  <si>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</si>
  <si>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</si>
  <si>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</si>
  <si>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</si>
  <si>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</si>
  <si>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</si>
  <si>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</si>
  <si>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</si>
  <si>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</si>
  <si>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</si>
  <si>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</si>
  <si>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</si>
  <si>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</si>
  <si>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</si>
  <si>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</si>
  <si>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</si>
  <si>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</si>
  <si>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</si>
  <si>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</si>
  <si>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</si>
  <si>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</si>
  <si>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</si>
  <si>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</si>
  <si>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</si>
  <si>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</si>
  <si>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</si>
  <si>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</si>
  <si>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</si>
  <si>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</si>
  <si>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</si>
  <si>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</si>
  <si>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</si>
  <si>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</si>
  <si>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</si>
  <si>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</si>
  <si>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</si>
  <si>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</si>
  <si>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</si>
  <si>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</si>
  <si>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</si>
  <si>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</si>
  <si>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</si>
  <si>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</si>
  <si>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</si>
  <si>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</si>
  <si>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</si>
  <si>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</si>
  <si>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</si>
  <si>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</si>
  <si>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</si>
  <si>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</si>
  <si>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</si>
  <si>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</si>
  <si>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</si>
  <si>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</si>
  <si>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</si>
  <si>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</si>
  <si>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</si>
  <si>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</si>
  <si>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</si>
  <si>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</si>
  <si>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</si>
  <si>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</si>
  <si>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</si>
  <si>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</si>
  <si>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</si>
  <si>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</si>
  <si>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</si>
  <si>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</si>
  <si>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</si>
  <si>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</si>
  <si>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</si>
  <si>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</si>
  <si>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</si>
  <si>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</si>
  <si>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</si>
  <si>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</si>
  <si>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</si>
  <si>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</si>
  <si>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</si>
  <si>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</si>
  <si>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</si>
  <si>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</si>
  <si>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</si>
  <si>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</si>
  <si>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</si>
  <si>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</si>
  <si>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</si>
  <si>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</si>
  <si>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</si>
  <si>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</si>
  <si>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</si>
  <si>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</si>
  <si>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</si>
  <si>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</si>
  <si>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</si>
  <si>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</si>
  <si>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</si>
  <si>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</si>
  <si>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</si>
  <si>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</si>
  <si>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</si>
  <si>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</si>
  <si>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</si>
  <si>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</si>
  <si>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</si>
  <si>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</si>
  <si>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</si>
  <si>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</si>
  <si>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</si>
  <si>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</si>
  <si>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</si>
  <si>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</si>
  <si>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</si>
  <si>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</si>
  <si>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</si>
  <si>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</si>
  <si>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</si>
  <si>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</si>
  <si>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</si>
  <si>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</si>
  <si>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</si>
  <si>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</si>
  <si>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</si>
  <si>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</si>
  <si>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</si>
  <si>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</si>
  <si>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</si>
  <si>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</si>
  <si>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</si>
  <si>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</si>
  <si>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</si>
  <si>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</si>
  <si>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</si>
  <si>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</si>
  <si>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</si>
  <si>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</si>
  <si>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</si>
  <si>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</si>
  <si>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</si>
  <si>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</si>
  <si>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</si>
  <si>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</si>
  <si>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</si>
  <si>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</si>
  <si>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</si>
  <si>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</si>
  <si>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</si>
  <si>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</si>
  <si>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</si>
  <si>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</si>
  <si>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</si>
  <si>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</si>
  <si>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</si>
  <si>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</si>
  <si>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</si>
  <si>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</si>
  <si>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</si>
  <si>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</si>
  <si>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</si>
  <si>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</si>
  <si>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</si>
  <si>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</si>
  <si>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</si>
  <si>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</si>
  <si>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</si>
  <si>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</si>
  <si>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</si>
  <si>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</si>
  <si>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</si>
  <si>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</si>
  <si>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</si>
  <si>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</si>
  <si>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</si>
  <si>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</si>
  <si>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</si>
  <si>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</si>
  <si>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</si>
  <si>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</si>
  <si>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</si>
  <si>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</si>
  <si>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</si>
  <si>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</si>
  <si>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</si>
  <si>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</si>
  <si>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</si>
  <si>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</si>
  <si>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</si>
  <si>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</si>
  <si>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</si>
  <si>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</si>
  <si>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</si>
  <si>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</si>
  <si>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</si>
  <si>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</si>
  <si>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</si>
  <si>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</si>
  <si>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</si>
  <si>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</si>
  <si>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04 2 13 S2020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</si>
  <si>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</si>
  <si>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</si>
  <si>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</si>
  <si>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</si>
  <si>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</si>
  <si>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</si>
  <si>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</si>
  <si>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</si>
  <si>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</si>
  <si>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</si>
  <si>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</si>
  <si>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</si>
  <si>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</si>
  <si>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</si>
  <si>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</si>
  <si>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</si>
  <si>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</si>
  <si>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</si>
  <si>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</si>
  <si>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</si>
  <si>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</si>
  <si>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</si>
  <si>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</si>
  <si>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</si>
  <si>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</si>
  <si>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</si>
  <si>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</si>
  <si>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</si>
  <si>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</si>
  <si>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</si>
  <si>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</si>
  <si>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</si>
  <si>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</si>
  <si>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</si>
  <si>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</si>
  <si>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</si>
  <si>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</si>
  <si>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</si>
  <si>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</si>
  <si>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</si>
  <si>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</si>
  <si>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</si>
  <si>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</si>
  <si>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</si>
  <si>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</si>
  <si>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09 2 32 51350</t>
  </si>
  <si>
    <t>05 0 13 L4670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</si>
  <si>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</si>
  <si>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</si>
  <si>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</si>
  <si>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Проведение муниципального конкурса "Лучшее подворье муниципального района "Печора"</t>
  </si>
  <si>
    <t>99 0 00 27400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</si>
  <si>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</si>
  <si>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</si>
  <si>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</si>
  <si>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</si>
  <si>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</si>
  <si>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</si>
  <si>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</si>
  <si>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</si>
  <si>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</si>
  <si>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</si>
  <si>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</si>
  <si>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</si>
  <si>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</si>
  <si>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</si>
  <si>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</si>
  <si>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</si>
  <si>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</si>
  <si>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</si>
  <si>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</si>
  <si>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</si>
  <si>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Cоздание системы по раздельному накоплению отходов</t>
  </si>
  <si>
    <t>08 1 00 00000</t>
  </si>
  <si>
    <t>05 0 21 02690</t>
  </si>
  <si>
    <t>03 2 F3 67484</t>
  </si>
  <si>
    <t>03 2 F3 6748S</t>
  </si>
  <si>
    <t>05 0 11 02690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</si>
  <si>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</si>
  <si>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02 2 00 00000</t>
  </si>
  <si>
    <t>Строительство (реконструкция) объектов инженерной инфраструктуры в сельской местности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</si>
  <si>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2020 год и плановый период 2021 и 2022 годов</t>
  </si>
  <si>
    <t>2022 год</t>
  </si>
  <si>
    <t xml:space="preserve">Ведомственная структура расходов бюджета муниципального образования муниципального района "Печора" на 2020 год и плановый период 2021 и  2022 годов 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</si>
  <si>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</si>
  <si>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</si>
  <si>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</si>
  <si>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</si>
  <si>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</si>
  <si>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Подпрограмма "Устойчивое развитие сельских территорий"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</si>
  <si>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</si>
  <si>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</si>
  <si>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</si>
  <si>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</si>
  <si>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</si>
  <si>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</si>
  <si>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</si>
  <si>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</si>
  <si>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</si>
  <si>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</si>
  <si>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</si>
  <si>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</si>
  <si>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</si>
  <si>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</si>
  <si>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"Охрана окружающей среды"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</si>
  <si>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</si>
  <si>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</si>
  <si>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</si>
  <si>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</si>
  <si>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</si>
  <si>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</si>
  <si>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</si>
  <si>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</si>
  <si>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</si>
  <si>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</si>
  <si>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Подрограмма "Развитие системы дошкольного образования"</t>
  </si>
  <si>
    <t>Подпрограмма "Управление муниципальным финансами и муниципальным долгом"</t>
  </si>
  <si>
    <t>04 5 11 73050</t>
  </si>
  <si>
    <t>04 1 13 S2020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</si>
  <si>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</si>
  <si>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</si>
  <si>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</si>
  <si>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</si>
  <si>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02 2 11 00000</t>
  </si>
  <si>
    <t>Реализация народных проектов в сфере малого и среднего предпринимательства, прошедших отбор в рамках проекта "Народный бюджет".</t>
  </si>
  <si>
    <t>99 0 00 54690</t>
  </si>
  <si>
    <t>Проведение Всероссийской переписи населения 2020 года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</si>
  <si>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</si>
  <si>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</si>
  <si>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08 1 11 S2860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</si>
  <si>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</si>
  <si>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</si>
  <si>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</si>
  <si>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</si>
  <si>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</si>
  <si>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</si>
  <si>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</si>
  <si>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</si>
  <si>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</si>
  <si>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</si>
  <si>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Кадастровый учет эемель , земельных участков для индивидуального жилищного строительства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</si>
  <si>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</si>
  <si>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</si>
  <si>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</si>
  <si>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</si>
  <si>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</si>
  <si>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</si>
  <si>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</si>
  <si>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</si>
  <si>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</si>
  <si>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</si>
  <si>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</si>
  <si>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</si>
  <si>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</si>
  <si>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14 S2000</t>
  </si>
  <si>
    <t>04 2 15 00000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</si>
  <si>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</si>
  <si>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</si>
  <si>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</si>
  <si>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</si>
  <si>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</si>
  <si>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</si>
  <si>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</si>
  <si>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Осуществление информационного обеспечения государственной молодежной политики муниципального района "Печора"</t>
  </si>
  <si>
    <t>04 3 21 00000</t>
  </si>
  <si>
    <t>05 0 13 S2460</t>
  </si>
  <si>
    <t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</si>
  <si>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03 2 31 S2880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</si>
  <si>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</si>
  <si>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</si>
  <si>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Кадастровый учет земель, земельных участков для индивидуального жилищного строительства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</si>
  <si>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</si>
  <si>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</si>
  <si>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</si>
  <si>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</si>
  <si>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 xml:space="preserve">975 </t>
  </si>
  <si>
    <t>Капитальные вложения в объекты государственной (муниципальной) собственности</t>
  </si>
  <si>
    <t>от 20 декабря 2019 года № 6-41/455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</si>
  <si>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</si>
  <si>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</si>
  <si>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изменения</t>
  </si>
  <si>
    <t>05 0 13 S2150</t>
  </si>
  <si>
    <t>Укрепление материально-технической базы муниципальных учреждений</t>
  </si>
  <si>
    <t>05 0 12 00000</t>
  </si>
  <si>
    <t>Создание безопасных условий в организациях в сфере физической культуры и спорта</t>
  </si>
  <si>
    <t xml:space="preserve">99 0 00 02110 </t>
  </si>
  <si>
    <t>99 0 00 99950</t>
  </si>
  <si>
    <t>Резерв средств на 2020 год, в том числе для увеличения расходов на оплату труда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</si>
  <si>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</si>
  <si>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</si>
  <si>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03 2 11 00000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</si>
  <si>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</si>
  <si>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</si>
  <si>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</si>
  <si>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</si>
  <si>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</si>
  <si>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</si>
  <si>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</si>
  <si>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</si>
  <si>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</si>
  <si>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</si>
  <si>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</si>
  <si>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</si>
  <si>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Проведение выборов и референдумов</t>
  </si>
  <si>
    <t>99 0 00 02090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</si>
  <si>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</si>
  <si>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99 0 00 27200</t>
  </si>
  <si>
    <t>Проведение мероприятий, связанных с предупреждением и ликвидацией последствий чрезвычайных ситуаций</t>
  </si>
  <si>
    <t>04 2 E2 50970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</si>
  <si>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</si>
  <si>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E2 54910</t>
  </si>
  <si>
    <t>04 1 13 S2010</t>
  </si>
  <si>
    <t>04 2 13 S2010</t>
  </si>
  <si>
    <t>Сумма
(тыс. рублей) 2020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</si>
  <si>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</si>
  <si>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</si>
  <si>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03 2 11 99913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</si>
  <si>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ЖКХ</t>
  </si>
  <si>
    <t>03 2 11 99911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</si>
  <si>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</t>
  </si>
  <si>
    <t>03 2 F3 67483</t>
  </si>
  <si>
    <t>05 0 13 00000</t>
  </si>
  <si>
    <t>05 0 13 S2470</t>
  </si>
  <si>
    <t>05 0 13 S2570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</si>
  <si>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</t>
  </si>
  <si>
    <t>06 0 23 00000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</si>
  <si>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</si>
  <si>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06 0 72 S2100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</si>
  <si>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</si>
  <si>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</si>
  <si>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</si>
  <si>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01 3 I4 S2560</t>
  </si>
  <si>
    <t>03 3 15 00000</t>
  </si>
  <si>
    <t>03 6 31 S2120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</si>
  <si>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</si>
  <si>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01 3 23 00000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</si>
  <si>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</si>
  <si>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05 0 26 00000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</si>
  <si>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</si>
  <si>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</si>
  <si>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2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</si>
  <si>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</si>
  <si>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 xml:space="preserve">Закупка товаров, работ и услуг для обеспечения государственных (муниципальных) нужд
</t>
  </si>
  <si>
    <t>Подпрограмма "Комплексное освоение и развитие территорий в целях жилищного строительства"</t>
  </si>
  <si>
    <t>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</si>
  <si>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</si>
  <si>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</si>
  <si>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Закупка товаров, работ и услуг для обеспечения государственных (муниципальных) нужд</t>
  </si>
  <si>
    <t>03 2 11 99912</t>
  </si>
  <si>
    <t>03 2 31 00000</t>
  </si>
  <si>
    <t>Обеспечение жильем граждан, переселяемых из малозаселенных, неперспективных населенных пунктов Республики Коми</t>
  </si>
  <si>
    <t>03 2 11 09502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</si>
  <si>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
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</si>
  <si>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</si>
  <si>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03 2 12 00000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</si>
  <si>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</si>
  <si>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-46,6</t>
  </si>
  <si>
    <t>04 2 18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</si>
  <si>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</si>
  <si>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</si>
  <si>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-78,3</t>
  </si>
  <si>
    <t>-13,8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</si>
  <si>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</si>
  <si>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</si>
  <si>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03 2 12 S2870</t>
  </si>
  <si>
    <t xml:space="preserve">Обеспечение мероприятий по сносу аварийного жилищного фонда
</t>
  </si>
  <si>
    <t>66,5</t>
  </si>
  <si>
    <t xml:space="preserve">Межбюджетные трансферты
</t>
  </si>
  <si>
    <t>08 2 41 00000</t>
  </si>
  <si>
    <t>Обеспечение эксплуатационной надежности гидротехнических сооружений</t>
  </si>
  <si>
    <t>от 28 октября 2020 года № 7-2/9</t>
  </si>
  <si>
    <t>от 28 октября  2020 года № 7-2/9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</si>
</sst>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5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4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6" borderId="10" xfId="0" applyNumberFormat="1" applyFont="1" applyFill="1" applyBorder="1" applyAlignment="1">
      <alignment horizontal="right" wrapText="1"/>
    </xf>
    <xf numFmtId="2" fontId="11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/>
    </xf>
    <xf numFmtId="181" fontId="11" fillId="33" borderId="10" xfId="0" applyNumberFormat="1" applyFont="1" applyFill="1" applyBorder="1" applyAlignment="1">
      <alignment horizontal="right" wrapText="1"/>
    </xf>
    <xf numFmtId="181" fontId="3" fillId="33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/>
    </xf>
    <xf numFmtId="2" fontId="2" fillId="6" borderId="10" xfId="0" applyNumberFormat="1" applyFont="1" applyFill="1" applyBorder="1" applyAlignment="1">
      <alignment horizontal="right"/>
    </xf>
    <xf numFmtId="181" fontId="2" fillId="6" borderId="10" xfId="0" applyNumberFormat="1" applyFont="1" applyFill="1" applyBorder="1" applyAlignment="1">
      <alignment horizontal="right"/>
    </xf>
    <xf numFmtId="18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181" fontId="9" fillId="7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Border="1" applyAlignment="1">
      <alignment vertical="center"/>
    </xf>
    <xf numFmtId="181" fontId="3" fillId="33" borderId="10" xfId="0" applyNumberFormat="1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justify" vertical="center" wrapText="1"/>
    </xf>
    <xf numFmtId="181" fontId="9" fillId="7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180" fontId="8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="90" zoomScaleNormal="90" zoomScaleSheetLayoutView="100" workbookViewId="0" topLeftCell="A1">
      <selection activeCell="I1" sqref="I1:Q16384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4.421875" style="19" bestFit="1" customWidth="1"/>
    <col min="4" max="4" width="14.00390625" style="19" hidden="1" customWidth="1"/>
    <col min="5" max="5" width="11.42187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16384" width="9.140625" style="19" customWidth="1"/>
  </cols>
  <sheetData>
    <row r="1" spans="7:8" ht="15.75">
      <c r="G1" s="171" t="s">
        <v>447</v>
      </c>
      <c r="H1" s="171"/>
    </row>
    <row r="2" spans="6:8" ht="12.75">
      <c r="F2" s="179" t="s">
        <v>238</v>
      </c>
      <c r="G2" s="179"/>
      <c r="H2" s="179"/>
    </row>
    <row r="3" spans="6:8" ht="12.75">
      <c r="F3" s="179" t="s">
        <v>244</v>
      </c>
      <c r="G3" s="179"/>
      <c r="H3" s="179"/>
    </row>
    <row r="4" spans="6:8" ht="12.75">
      <c r="F4" s="179" t="s">
        <v>477</v>
      </c>
      <c r="G4" s="179"/>
      <c r="H4" s="179"/>
    </row>
    <row r="5" spans="6:8" ht="12.75">
      <c r="F5" s="119"/>
      <c r="G5" s="119"/>
      <c r="H5" s="119"/>
    </row>
    <row r="6" spans="2:8" ht="15.75">
      <c r="B6" s="171" t="s">
        <v>219</v>
      </c>
      <c r="C6" s="171"/>
      <c r="D6" s="171"/>
      <c r="E6" s="171"/>
      <c r="F6" s="171"/>
      <c r="G6" s="171"/>
      <c r="H6" s="171"/>
    </row>
    <row r="7" spans="2:8" ht="12.75">
      <c r="B7" s="86"/>
      <c r="C7" s="86"/>
      <c r="D7" s="86"/>
      <c r="E7" s="86"/>
      <c r="F7" s="175" t="s">
        <v>238</v>
      </c>
      <c r="G7" s="175"/>
      <c r="H7" s="175"/>
    </row>
    <row r="8" spans="2:8" ht="12.75">
      <c r="B8" s="86"/>
      <c r="C8" s="86"/>
      <c r="D8" s="86"/>
      <c r="E8" s="86"/>
      <c r="F8" s="175" t="s">
        <v>244</v>
      </c>
      <c r="G8" s="175"/>
      <c r="H8" s="175"/>
    </row>
    <row r="9" spans="2:8" ht="12.75">
      <c r="B9" s="86"/>
      <c r="C9" s="86"/>
      <c r="D9" s="86"/>
      <c r="E9" s="86"/>
      <c r="F9" s="175" t="s">
        <v>384</v>
      </c>
      <c r="G9" s="175"/>
      <c r="H9" s="175"/>
    </row>
    <row r="10" ht="12.75"/>
    <row r="11" spans="1:8" ht="57.75" customHeight="1">
      <c r="A11" s="176" t="s">
        <v>288</v>
      </c>
      <c r="B11" s="176"/>
      <c r="C11" s="176"/>
      <c r="D11" s="176"/>
      <c r="E11" s="176"/>
      <c r="F11" s="176"/>
      <c r="G11" s="176"/>
      <c r="H11" s="176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77" t="s">
        <v>3</v>
      </c>
      <c r="B13" s="172" t="s">
        <v>1</v>
      </c>
      <c r="C13" s="172" t="s">
        <v>2</v>
      </c>
      <c r="D13" s="177" t="s">
        <v>420</v>
      </c>
      <c r="E13" s="177" t="s">
        <v>387</v>
      </c>
      <c r="F13" s="174" t="s">
        <v>240</v>
      </c>
      <c r="G13" s="174"/>
      <c r="H13" s="174"/>
    </row>
    <row r="14" spans="1:8" ht="29.25" customHeight="1">
      <c r="A14" s="178"/>
      <c r="B14" s="173"/>
      <c r="C14" s="173"/>
      <c r="D14" s="178"/>
      <c r="E14" s="178"/>
      <c r="F14" s="103" t="s">
        <v>237</v>
      </c>
      <c r="G14" s="103" t="s">
        <v>239</v>
      </c>
      <c r="H14" s="103" t="s">
        <v>289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4</v>
      </c>
      <c r="G15" s="25">
        <v>5</v>
      </c>
      <c r="H15" s="25">
        <v>6</v>
      </c>
    </row>
    <row r="16" spans="1:8" ht="18.75">
      <c r="A16" s="28" t="s">
        <v>7</v>
      </c>
      <c r="B16" s="5" t="s">
        <v>0</v>
      </c>
      <c r="C16" s="5" t="s">
        <v>0</v>
      </c>
      <c r="D16" s="6">
        <f>D17+D32+D39+D111+D202+D255+D280+D349+D372+D394</f>
        <v>2089169.3</v>
      </c>
      <c r="E16" s="6">
        <f>E17+E32+E39+E111+E202+E255+E280+E349+E372+E394</f>
        <v>28158.999999999993</v>
      </c>
      <c r="F16" s="6">
        <f>F17+F32+F39+F111+F202+F255+F280+F349+F372+F394</f>
        <v>2117328.3000000003</v>
      </c>
      <c r="G16" s="6">
        <f>G17+G32+G39+G111+G202+G255+G280+G349+G372+G394</f>
        <v>1846998.0999999996</v>
      </c>
      <c r="H16" s="6">
        <f>H17+H32+H39+H111+H202+H255+H280+H349+H372+H394</f>
        <v>1908919.3999999997</v>
      </c>
    </row>
    <row r="17" spans="1:8" ht="15.75">
      <c r="A17" s="29" t="s">
        <v>291</v>
      </c>
      <c r="B17" s="30" t="s">
        <v>94</v>
      </c>
      <c r="C17" s="30" t="s">
        <v>0</v>
      </c>
      <c r="D17" s="31">
        <f>D21+D18</f>
        <v>1621.8</v>
      </c>
      <c r="E17" s="31">
        <f>E21+E18</f>
        <v>-274.5</v>
      </c>
      <c r="F17" s="31">
        <f>F21+F18</f>
        <v>1347.3</v>
      </c>
      <c r="G17" s="31">
        <f>G21+G18</f>
        <v>1049.3</v>
      </c>
      <c r="H17" s="31">
        <f>H21+H18</f>
        <v>1049.3</v>
      </c>
    </row>
    <row r="18" spans="1:8" ht="31.5">
      <c r="A18" s="13" t="s">
        <v>292</v>
      </c>
      <c r="B18" s="11" t="s">
        <v>207</v>
      </c>
      <c r="C18" s="11" t="s">
        <v>0</v>
      </c>
      <c r="D18" s="12">
        <f aca="true" t="shared" si="0" ref="D18:H19">D19</f>
        <v>100</v>
      </c>
      <c r="E18" s="12">
        <f t="shared" si="0"/>
        <v>-100</v>
      </c>
      <c r="F18" s="12">
        <f t="shared" si="0"/>
        <v>0</v>
      </c>
      <c r="G18" s="12">
        <f t="shared" si="0"/>
        <v>100</v>
      </c>
      <c r="H18" s="12">
        <f t="shared" si="0"/>
        <v>100</v>
      </c>
    </row>
    <row r="19" spans="1:8" ht="31.5">
      <c r="A19" s="45" t="s">
        <v>218</v>
      </c>
      <c r="B19" s="15" t="s">
        <v>216</v>
      </c>
      <c r="C19" s="42"/>
      <c r="D19" s="20">
        <f t="shared" si="0"/>
        <v>100</v>
      </c>
      <c r="E19" s="20">
        <f t="shared" si="0"/>
        <v>-100</v>
      </c>
      <c r="F19" s="20">
        <f t="shared" si="0"/>
        <v>0</v>
      </c>
      <c r="G19" s="20">
        <f t="shared" si="0"/>
        <v>100</v>
      </c>
      <c r="H19" s="20">
        <f t="shared" si="0"/>
        <v>100</v>
      </c>
    </row>
    <row r="20" spans="1:8" ht="47.25">
      <c r="A20" s="45" t="s">
        <v>449</v>
      </c>
      <c r="B20" s="15" t="s">
        <v>216</v>
      </c>
      <c r="C20" s="42" t="s">
        <v>8</v>
      </c>
      <c r="D20" s="20">
        <f>'2020-2022 год Приложение  4'!E35</f>
        <v>100</v>
      </c>
      <c r="E20" s="20">
        <f>'2020-2022 год Приложение  4'!F35</f>
        <v>-100</v>
      </c>
      <c r="F20" s="20">
        <f>'2020-2022 год Приложение  4'!G35</f>
        <v>0</v>
      </c>
      <c r="G20" s="20">
        <f>'2020-2022 год Приложение  4'!H35</f>
        <v>100</v>
      </c>
      <c r="H20" s="20">
        <f>'2020-2022 год Приложение  4'!I35</f>
        <v>100</v>
      </c>
    </row>
    <row r="21" spans="1:8" ht="15.75">
      <c r="A21" s="13" t="s">
        <v>293</v>
      </c>
      <c r="B21" s="81" t="s">
        <v>95</v>
      </c>
      <c r="C21" s="11" t="s">
        <v>0</v>
      </c>
      <c r="D21" s="12">
        <f>D24+D22+D26+D30+D28</f>
        <v>1521.8</v>
      </c>
      <c r="E21" s="12">
        <f>E24+E22+E26+E30+E28</f>
        <v>-174.5</v>
      </c>
      <c r="F21" s="12">
        <f>F24+F22+F26+F30+F28</f>
        <v>1347.3</v>
      </c>
      <c r="G21" s="12">
        <f>G24+G22+G26+G30+G28</f>
        <v>949.3</v>
      </c>
      <c r="H21" s="12">
        <f>H24+H22+H26+H30+H28</f>
        <v>949.3</v>
      </c>
    </row>
    <row r="22" spans="1:8" ht="15.75">
      <c r="A22" s="45" t="s">
        <v>209</v>
      </c>
      <c r="B22" s="15" t="s">
        <v>208</v>
      </c>
      <c r="C22" s="42"/>
      <c r="D22" s="20">
        <f>D23</f>
        <v>120</v>
      </c>
      <c r="E22" s="20">
        <f>E23</f>
        <v>0</v>
      </c>
      <c r="F22" s="20">
        <f>F23</f>
        <v>120</v>
      </c>
      <c r="G22" s="20">
        <f>G23</f>
        <v>120</v>
      </c>
      <c r="H22" s="20">
        <f>H23</f>
        <v>120</v>
      </c>
    </row>
    <row r="23" spans="1:8" ht="47.25">
      <c r="A23" s="45" t="s">
        <v>449</v>
      </c>
      <c r="B23" s="15" t="s">
        <v>208</v>
      </c>
      <c r="C23" s="42" t="s">
        <v>8</v>
      </c>
      <c r="D23" s="20">
        <f>'2020-2022 год Приложение  4'!E38</f>
        <v>120</v>
      </c>
      <c r="E23" s="20">
        <f>'2020-2022 год Приложение  4'!F38</f>
        <v>0</v>
      </c>
      <c r="F23" s="20">
        <f>'2020-2022 год Приложение  4'!G38</f>
        <v>120</v>
      </c>
      <c r="G23" s="20">
        <f>'2020-2022 год Приложение  4'!H38</f>
        <v>120</v>
      </c>
      <c r="H23" s="20">
        <f>'2020-2022 год Приложение  4'!I38</f>
        <v>120</v>
      </c>
    </row>
    <row r="24" spans="1:8" ht="33.75" customHeight="1">
      <c r="A24" s="45" t="s">
        <v>210</v>
      </c>
      <c r="B24" s="15" t="s">
        <v>217</v>
      </c>
      <c r="C24" s="42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</row>
    <row r="25" spans="1:8" ht="47.25">
      <c r="A25" s="45" t="s">
        <v>449</v>
      </c>
      <c r="B25" s="15" t="s">
        <v>217</v>
      </c>
      <c r="C25" s="42" t="s">
        <v>8</v>
      </c>
      <c r="D25" s="20">
        <f>'2020-2022 год Приложение  4'!E40</f>
        <v>139.3</v>
      </c>
      <c r="E25" s="20">
        <f>'2020-2022 год Приложение  4'!F40</f>
        <v>0</v>
      </c>
      <c r="F25" s="20">
        <f>'2020-2022 год Приложение  4'!G40</f>
        <v>139.3</v>
      </c>
      <c r="G25" s="20">
        <f>'2020-2022 год Приложение  4'!H40</f>
        <v>139.3</v>
      </c>
      <c r="H25" s="20">
        <f>'2020-2022 год Приложение  4'!I40</f>
        <v>139.3</v>
      </c>
    </row>
    <row r="26" spans="1:8" ht="31.5">
      <c r="A26" s="45" t="s">
        <v>235</v>
      </c>
      <c r="B26" s="15" t="s">
        <v>234</v>
      </c>
      <c r="C26" s="42"/>
      <c r="D26" s="20">
        <f>D27</f>
        <v>690</v>
      </c>
      <c r="E26" s="20">
        <f>E27</f>
        <v>-174.5</v>
      </c>
      <c r="F26" s="20">
        <f>F27</f>
        <v>515.5</v>
      </c>
      <c r="G26" s="20">
        <f>G27</f>
        <v>690</v>
      </c>
      <c r="H26" s="20">
        <f>H27</f>
        <v>690</v>
      </c>
    </row>
    <row r="27" spans="1:8" ht="15.75">
      <c r="A27" s="45" t="s">
        <v>9</v>
      </c>
      <c r="B27" s="15" t="s">
        <v>234</v>
      </c>
      <c r="C27" s="42" t="s">
        <v>12</v>
      </c>
      <c r="D27" s="20">
        <f>'2020-2022 год Приложение  4'!E42</f>
        <v>690</v>
      </c>
      <c r="E27" s="20">
        <f>'2020-2022 год Приложение  4'!F42</f>
        <v>-174.5</v>
      </c>
      <c r="F27" s="20">
        <f>'2020-2022 год Приложение  4'!G42</f>
        <v>515.5</v>
      </c>
      <c r="G27" s="20">
        <f>'2020-2022 год Приложение  4'!H42</f>
        <v>690</v>
      </c>
      <c r="H27" s="20">
        <f>'2020-2022 год Приложение  4'!I42</f>
        <v>690</v>
      </c>
    </row>
    <row r="28" spans="1:8" ht="47.25">
      <c r="A28" s="45" t="s">
        <v>331</v>
      </c>
      <c r="B28" s="15" t="s">
        <v>442</v>
      </c>
      <c r="C28" s="42"/>
      <c r="D28" s="20">
        <f>D29</f>
        <v>0.5</v>
      </c>
      <c r="E28" s="20">
        <f>E29</f>
        <v>0</v>
      </c>
      <c r="F28" s="20">
        <f>F29</f>
        <v>0.5</v>
      </c>
      <c r="G28" s="20">
        <f>G29</f>
        <v>0</v>
      </c>
      <c r="H28" s="20">
        <f>H29</f>
        <v>0</v>
      </c>
    </row>
    <row r="29" spans="1:8" ht="15.75">
      <c r="A29" s="45" t="s">
        <v>9</v>
      </c>
      <c r="B29" s="15" t="s">
        <v>442</v>
      </c>
      <c r="C29" s="42" t="s">
        <v>12</v>
      </c>
      <c r="D29" s="20">
        <f>'2020-2022 год Приложение  4'!E44</f>
        <v>0.5</v>
      </c>
      <c r="E29" s="20">
        <f>'2020-2022 год Приложение  4'!F44</f>
        <v>0</v>
      </c>
      <c r="F29" s="20">
        <f>D29+E29</f>
        <v>0.5</v>
      </c>
      <c r="G29" s="20">
        <f>'2020-2022 год Приложение  4'!H44</f>
        <v>0</v>
      </c>
      <c r="H29" s="20">
        <f>'2020-2022 год Приложение  4'!I44</f>
        <v>0</v>
      </c>
    </row>
    <row r="30" spans="1:8" ht="63">
      <c r="A30" s="45" t="s">
        <v>437</v>
      </c>
      <c r="B30" s="15" t="s">
        <v>438</v>
      </c>
      <c r="C30" s="42"/>
      <c r="D30" s="20">
        <f>D31</f>
        <v>572</v>
      </c>
      <c r="E30" s="20">
        <f>E31</f>
        <v>0</v>
      </c>
      <c r="F30" s="20">
        <f>F31</f>
        <v>572</v>
      </c>
      <c r="G30" s="20">
        <f>G31</f>
        <v>0</v>
      </c>
      <c r="H30" s="20">
        <f>H31</f>
        <v>0</v>
      </c>
    </row>
    <row r="31" spans="1:8" ht="15.75">
      <c r="A31" s="45" t="s">
        <v>9</v>
      </c>
      <c r="B31" s="15" t="s">
        <v>438</v>
      </c>
      <c r="C31" s="42" t="s">
        <v>12</v>
      </c>
      <c r="D31" s="20">
        <f>'2020-2022 год Приложение  4'!E46</f>
        <v>572</v>
      </c>
      <c r="E31" s="20">
        <f>'2020-2022 год Приложение  4'!F46</f>
        <v>0</v>
      </c>
      <c r="F31" s="20">
        <f>D31+E31</f>
        <v>572</v>
      </c>
      <c r="G31" s="20">
        <f>'2020-2022 год Приложение  4'!H46</f>
        <v>0</v>
      </c>
      <c r="H31" s="20">
        <f>'2020-2022 год Приложение  4'!I46</f>
        <v>0</v>
      </c>
    </row>
    <row r="32" spans="1:8" ht="31.5">
      <c r="A32" s="29" t="s">
        <v>294</v>
      </c>
      <c r="B32" s="30" t="s">
        <v>145</v>
      </c>
      <c r="C32" s="30" t="s">
        <v>0</v>
      </c>
      <c r="D32" s="31">
        <f>D33+D36</f>
        <v>1088.5</v>
      </c>
      <c r="E32" s="31">
        <f>E33+E36</f>
        <v>-318.3</v>
      </c>
      <c r="F32" s="31">
        <f>F33+F36</f>
        <v>770.2</v>
      </c>
      <c r="G32" s="31">
        <f>G33+G36</f>
        <v>120</v>
      </c>
      <c r="H32" s="31">
        <f>H33+H36</f>
        <v>120</v>
      </c>
    </row>
    <row r="33" spans="1:8" ht="15.75">
      <c r="A33" s="10" t="s">
        <v>295</v>
      </c>
      <c r="B33" s="11" t="s">
        <v>146</v>
      </c>
      <c r="C33" s="11" t="s">
        <v>0</v>
      </c>
      <c r="D33" s="12">
        <f aca="true" t="shared" si="1" ref="D33:H34">D34</f>
        <v>120</v>
      </c>
      <c r="E33" s="12">
        <f t="shared" si="1"/>
        <v>0</v>
      </c>
      <c r="F33" s="12">
        <f t="shared" si="1"/>
        <v>120</v>
      </c>
      <c r="G33" s="12">
        <f t="shared" si="1"/>
        <v>120</v>
      </c>
      <c r="H33" s="12">
        <f t="shared" si="1"/>
        <v>120</v>
      </c>
    </row>
    <row r="34" spans="1:8" ht="15.75">
      <c r="A34" s="14" t="s">
        <v>23</v>
      </c>
      <c r="B34" s="7" t="s">
        <v>329</v>
      </c>
      <c r="C34" s="7"/>
      <c r="D34" s="20">
        <f t="shared" si="1"/>
        <v>120</v>
      </c>
      <c r="E34" s="20">
        <f t="shared" si="1"/>
        <v>0</v>
      </c>
      <c r="F34" s="20">
        <f t="shared" si="1"/>
        <v>120</v>
      </c>
      <c r="G34" s="20">
        <f t="shared" si="1"/>
        <v>120</v>
      </c>
      <c r="H34" s="20">
        <f t="shared" si="1"/>
        <v>120</v>
      </c>
    </row>
    <row r="35" spans="1:8" ht="47.25">
      <c r="A35" s="45" t="s">
        <v>449</v>
      </c>
      <c r="B35" s="7" t="s">
        <v>329</v>
      </c>
      <c r="C35" s="42" t="s">
        <v>8</v>
      </c>
      <c r="D35" s="20">
        <f>'2020-2022 год Приложение  4'!E50</f>
        <v>120</v>
      </c>
      <c r="E35" s="20">
        <f>'2020-2022 год Приложение  4'!F50</f>
        <v>0</v>
      </c>
      <c r="F35" s="20">
        <f>'2020-2022 год Приложение  4'!G50</f>
        <v>120</v>
      </c>
      <c r="G35" s="20">
        <f>'2020-2022 год Приложение  4'!H50</f>
        <v>120</v>
      </c>
      <c r="H35" s="20">
        <f>'2020-2022 год Приложение  4'!I50</f>
        <v>120</v>
      </c>
    </row>
    <row r="36" spans="1:8" ht="15.75">
      <c r="A36" s="10" t="s">
        <v>296</v>
      </c>
      <c r="B36" s="11" t="s">
        <v>286</v>
      </c>
      <c r="C36" s="11"/>
      <c r="D36" s="12">
        <f aca="true" t="shared" si="2" ref="D36:H37">D37</f>
        <v>968.5</v>
      </c>
      <c r="E36" s="12">
        <f t="shared" si="2"/>
        <v>-318.3</v>
      </c>
      <c r="F36" s="12">
        <f t="shared" si="2"/>
        <v>650.2</v>
      </c>
      <c r="G36" s="12">
        <f t="shared" si="2"/>
        <v>0</v>
      </c>
      <c r="H36" s="12">
        <f t="shared" si="2"/>
        <v>0</v>
      </c>
    </row>
    <row r="37" spans="1:8" ht="31.5">
      <c r="A37" s="14" t="s">
        <v>287</v>
      </c>
      <c r="B37" s="7" t="s">
        <v>330</v>
      </c>
      <c r="C37" s="7"/>
      <c r="D37" s="20">
        <f t="shared" si="2"/>
        <v>968.5</v>
      </c>
      <c r="E37" s="20">
        <f t="shared" si="2"/>
        <v>-318.3</v>
      </c>
      <c r="F37" s="20">
        <f t="shared" si="2"/>
        <v>650.2</v>
      </c>
      <c r="G37" s="20">
        <f t="shared" si="2"/>
        <v>0</v>
      </c>
      <c r="H37" s="20">
        <f t="shared" si="2"/>
        <v>0</v>
      </c>
    </row>
    <row r="38" spans="1:8" ht="47.25">
      <c r="A38" s="45" t="s">
        <v>449</v>
      </c>
      <c r="B38" s="7" t="s">
        <v>330</v>
      </c>
      <c r="C38" s="42" t="s">
        <v>8</v>
      </c>
      <c r="D38" s="20">
        <f>'2020-2022 год Приложение  4'!E53</f>
        <v>968.5</v>
      </c>
      <c r="E38" s="20">
        <f>'2020-2022 год Приложение  4'!F53</f>
        <v>-318.3</v>
      </c>
      <c r="F38" s="20">
        <f>'2020-2022 год Приложение  4'!G53</f>
        <v>650.2</v>
      </c>
      <c r="G38" s="20">
        <f>'2020-2022 год Приложение  4'!H53</f>
        <v>0</v>
      </c>
      <c r="H38" s="20">
        <f>'2020-2022 год Приложение  4'!I53</f>
        <v>0</v>
      </c>
    </row>
    <row r="39" spans="1:8" ht="31.5">
      <c r="A39" s="29" t="s">
        <v>297</v>
      </c>
      <c r="B39" s="30" t="s">
        <v>173</v>
      </c>
      <c r="C39" s="30" t="s">
        <v>0</v>
      </c>
      <c r="D39" s="31">
        <f>D40+D49+D101+D84+D106</f>
        <v>205143.60000000003</v>
      </c>
      <c r="E39" s="31">
        <f>E40+E49+E101+E84+E106</f>
        <v>-1631.6999999999998</v>
      </c>
      <c r="F39" s="31">
        <f>F40+F49+F101+F84+F106</f>
        <v>203511.90000000005</v>
      </c>
      <c r="G39" s="31">
        <f>G40+G49+G101+G84+G106</f>
        <v>95866.09999999999</v>
      </c>
      <c r="H39" s="31">
        <f>H40+H49+H101+H84+H106</f>
        <v>95821.69999999998</v>
      </c>
    </row>
    <row r="40" spans="1:8" ht="31.5">
      <c r="A40" s="10" t="s">
        <v>298</v>
      </c>
      <c r="B40" s="11" t="s">
        <v>174</v>
      </c>
      <c r="C40" s="11" t="s">
        <v>0</v>
      </c>
      <c r="D40" s="12">
        <f>D41+D45+D47+D43</f>
        <v>34696</v>
      </c>
      <c r="E40" s="12">
        <f>E41+E45+E47+E43</f>
        <v>-5167</v>
      </c>
      <c r="F40" s="12">
        <f>F41+F45+F47+F43</f>
        <v>29529</v>
      </c>
      <c r="G40" s="12">
        <f>G41+G45+G47+G43</f>
        <v>18611.6</v>
      </c>
      <c r="H40" s="12">
        <f>H41+H45+H47+H43</f>
        <v>22804</v>
      </c>
    </row>
    <row r="41" spans="1:8" ht="31.5">
      <c r="A41" s="14" t="s">
        <v>229</v>
      </c>
      <c r="B41" s="42" t="s">
        <v>339</v>
      </c>
      <c r="C41" s="7"/>
      <c r="D41" s="8">
        <f>D42</f>
        <v>8643.3</v>
      </c>
      <c r="E41" s="8">
        <f>E42</f>
        <v>2999.6</v>
      </c>
      <c r="F41" s="8">
        <f>F42</f>
        <v>11642.9</v>
      </c>
      <c r="G41" s="8">
        <f>G42</f>
        <v>1751.4</v>
      </c>
      <c r="H41" s="8">
        <f>H42</f>
        <v>7000</v>
      </c>
    </row>
    <row r="42" spans="1:8" ht="47.25">
      <c r="A42" s="45" t="s">
        <v>449</v>
      </c>
      <c r="B42" s="42" t="s">
        <v>339</v>
      </c>
      <c r="C42" s="42" t="s">
        <v>8</v>
      </c>
      <c r="D42" s="20">
        <f>'2020-2022 год Приложение  4'!E57</f>
        <v>8643.3</v>
      </c>
      <c r="E42" s="20">
        <f>'2020-2022 год Приложение  4'!F57</f>
        <v>2999.6</v>
      </c>
      <c r="F42" s="20">
        <f>'2020-2022 год Приложение  4'!G57</f>
        <v>11642.9</v>
      </c>
      <c r="G42" s="20">
        <f>'2020-2022 год Приложение  4'!H57</f>
        <v>1751.4</v>
      </c>
      <c r="H42" s="20">
        <f>'2020-2022 год Приложение  4'!I57</f>
        <v>7000</v>
      </c>
    </row>
    <row r="43" spans="1:8" ht="40.5" customHeight="1">
      <c r="A43" s="14" t="s">
        <v>340</v>
      </c>
      <c r="B43" s="42" t="s">
        <v>341</v>
      </c>
      <c r="C43" s="42"/>
      <c r="D43" s="20">
        <f>D44</f>
        <v>94</v>
      </c>
      <c r="E43" s="20">
        <f>E44</f>
        <v>0</v>
      </c>
      <c r="F43" s="20">
        <f>F44</f>
        <v>94</v>
      </c>
      <c r="G43" s="20">
        <f>G44</f>
        <v>0</v>
      </c>
      <c r="H43" s="20">
        <f>H44</f>
        <v>0</v>
      </c>
    </row>
    <row r="44" spans="1:8" ht="47.25">
      <c r="A44" s="45" t="s">
        <v>449</v>
      </c>
      <c r="B44" s="42" t="s">
        <v>341</v>
      </c>
      <c r="C44" s="42" t="s">
        <v>8</v>
      </c>
      <c r="D44" s="20">
        <f>'2020-2022 год Приложение  4'!E59</f>
        <v>94</v>
      </c>
      <c r="E44" s="20">
        <f>'2020-2022 год Приложение  4'!F59</f>
        <v>0</v>
      </c>
      <c r="F44" s="20">
        <f>'2020-2022 год Приложение  4'!G59</f>
        <v>94</v>
      </c>
      <c r="G44" s="20">
        <f>'2020-2022 год Приложение  4'!H59</f>
        <v>0</v>
      </c>
      <c r="H44" s="20">
        <f>'2020-2022 год Приложение  4'!I59</f>
        <v>0</v>
      </c>
    </row>
    <row r="45" spans="1:8" ht="31.5">
      <c r="A45" s="18" t="s">
        <v>45</v>
      </c>
      <c r="B45" s="42" t="s">
        <v>342</v>
      </c>
      <c r="C45" s="9"/>
      <c r="D45" s="8">
        <f>D46</f>
        <v>19133.7</v>
      </c>
      <c r="E45" s="8">
        <f>E46</f>
        <v>-8166.6</v>
      </c>
      <c r="F45" s="8">
        <f>F46</f>
        <v>10967.1</v>
      </c>
      <c r="G45" s="8">
        <f>G46</f>
        <v>10035.2</v>
      </c>
      <c r="H45" s="8">
        <f>H46</f>
        <v>8979</v>
      </c>
    </row>
    <row r="46" spans="1:8" ht="47.25">
      <c r="A46" s="45" t="s">
        <v>449</v>
      </c>
      <c r="B46" s="42" t="s">
        <v>342</v>
      </c>
      <c r="C46" s="42" t="s">
        <v>8</v>
      </c>
      <c r="D46" s="20">
        <f>'2020-2022 год Приложение  4'!E61</f>
        <v>19133.7</v>
      </c>
      <c r="E46" s="20">
        <f>'2020-2022 год Приложение  4'!F61</f>
        <v>-8166.6</v>
      </c>
      <c r="F46" s="20">
        <f>'2020-2022 год Приложение  4'!G61</f>
        <v>10967.1</v>
      </c>
      <c r="G46" s="20">
        <f>'2020-2022 год Приложение  4'!H61</f>
        <v>10035.2</v>
      </c>
      <c r="H46" s="20">
        <f>'2020-2022 год Приложение  4'!I61</f>
        <v>8979</v>
      </c>
    </row>
    <row r="47" spans="1:8" ht="47.25">
      <c r="A47" s="40" t="s">
        <v>65</v>
      </c>
      <c r="B47" s="27" t="s">
        <v>343</v>
      </c>
      <c r="C47" s="57"/>
      <c r="D47" s="20">
        <f>'2020-2022 год Приложение  4'!E62</f>
        <v>6825</v>
      </c>
      <c r="E47" s="20">
        <f>'2020-2022 год Приложение  4'!F62</f>
        <v>0</v>
      </c>
      <c r="F47" s="20">
        <f>'2020-2022 год Приложение  4'!G62</f>
        <v>6825</v>
      </c>
      <c r="G47" s="20">
        <f>'2020-2022 год Приложение  4'!H62</f>
        <v>6825</v>
      </c>
      <c r="H47" s="20">
        <f>'2020-2022 год Приложение  4'!I62</f>
        <v>6825</v>
      </c>
    </row>
    <row r="48" spans="1:8" ht="15.75">
      <c r="A48" s="45" t="s">
        <v>9</v>
      </c>
      <c r="B48" s="27" t="s">
        <v>343</v>
      </c>
      <c r="C48" s="42" t="s">
        <v>12</v>
      </c>
      <c r="D48" s="20">
        <f>'2020-2022 год Приложение  4'!E63</f>
        <v>6825</v>
      </c>
      <c r="E48" s="20">
        <f>'2020-2022 год Приложение  4'!F63</f>
        <v>0</v>
      </c>
      <c r="F48" s="20">
        <f>'2020-2022 год Приложение  4'!G63</f>
        <v>6825</v>
      </c>
      <c r="G48" s="20">
        <f>'2020-2022 год Приложение  4'!H63</f>
        <v>6825</v>
      </c>
      <c r="H48" s="20">
        <f>'2020-2022 год Приложение  4'!I63</f>
        <v>6825</v>
      </c>
    </row>
    <row r="49" spans="1:8" ht="63">
      <c r="A49" s="10" t="s">
        <v>443</v>
      </c>
      <c r="B49" s="11" t="s">
        <v>175</v>
      </c>
      <c r="C49" s="11" t="s">
        <v>0</v>
      </c>
      <c r="D49" s="12">
        <f>D66+D78+D81+D72+D64+D68+D50+D58+D75+D54+D56+D70+D52+D60+D62</f>
        <v>128902.80000000002</v>
      </c>
      <c r="E49" s="12">
        <f>E66+E78+E81+E72+E64+E68+E50+E58+E75+E54+E56+E70+E52+E60+E62</f>
        <v>3535.3</v>
      </c>
      <c r="F49" s="12">
        <f>F66+F78+F81+F72+F64+F68+F50+F58+F75+F54+F56+F70+F52+F60+F62</f>
        <v>132438.10000000003</v>
      </c>
      <c r="G49" s="12">
        <f>G66+G78+G81+G72+G64+G68+G50+G58+G75+G54+G56+G70+G52+G60+G62</f>
        <v>38430</v>
      </c>
      <c r="H49" s="12">
        <f>H66+H78+H81+H72+H64+H68+H50+H58+H75+H54+H56+H70+H52+H60+H62</f>
        <v>34053.7</v>
      </c>
    </row>
    <row r="50" spans="1:8" ht="31.5">
      <c r="A50" s="98" t="s">
        <v>276</v>
      </c>
      <c r="B50" s="35" t="s">
        <v>397</v>
      </c>
      <c r="C50" s="35"/>
      <c r="D50" s="36">
        <f>D51</f>
        <v>67.8</v>
      </c>
      <c r="E50" s="36">
        <f>E51</f>
        <v>0</v>
      </c>
      <c r="F50" s="36">
        <f>F51</f>
        <v>67.8</v>
      </c>
      <c r="G50" s="36">
        <f>G51</f>
        <v>0</v>
      </c>
      <c r="H50" s="36">
        <f>H51</f>
        <v>0</v>
      </c>
    </row>
    <row r="51" spans="1:8" ht="47.25">
      <c r="A51" s="45" t="s">
        <v>449</v>
      </c>
      <c r="B51" s="35" t="s">
        <v>397</v>
      </c>
      <c r="C51" s="35" t="s">
        <v>8</v>
      </c>
      <c r="D51" s="36">
        <f>'2020-2022 год Приложение  4'!E337</f>
        <v>67.8</v>
      </c>
      <c r="E51" s="36">
        <f>'2020-2022 год Приложение  4'!F337</f>
        <v>0</v>
      </c>
      <c r="F51" s="36">
        <f>'2020-2022 год Приложение  4'!G337</f>
        <v>67.8</v>
      </c>
      <c r="G51" s="36">
        <f>'2020-2022 год Приложение  4'!H337</f>
        <v>0</v>
      </c>
      <c r="H51" s="36">
        <f>'2020-2022 год Приложение  4'!I337</f>
        <v>0</v>
      </c>
    </row>
    <row r="52" spans="1:8" ht="78.75">
      <c r="A52" s="45" t="s">
        <v>459</v>
      </c>
      <c r="B52" s="35" t="s">
        <v>458</v>
      </c>
      <c r="C52" s="35"/>
      <c r="D52" s="36">
        <f>D53</f>
        <v>10360.8</v>
      </c>
      <c r="E52" s="36">
        <f>E53</f>
        <v>0</v>
      </c>
      <c r="F52" s="36">
        <f>F53</f>
        <v>10360.8</v>
      </c>
      <c r="G52" s="36">
        <f>G53</f>
        <v>0</v>
      </c>
      <c r="H52" s="36">
        <f>H53</f>
        <v>0</v>
      </c>
    </row>
    <row r="53" spans="1:8" ht="15.75">
      <c r="A53" s="45" t="s">
        <v>9</v>
      </c>
      <c r="B53" s="35" t="s">
        <v>458</v>
      </c>
      <c r="C53" s="35" t="s">
        <v>12</v>
      </c>
      <c r="D53" s="36">
        <f>'2020-2022 год Приложение  4'!E339</f>
        <v>10360.8</v>
      </c>
      <c r="E53" s="36">
        <f>'2020-2022 год Приложение  4'!F339</f>
        <v>0</v>
      </c>
      <c r="F53" s="36">
        <f>E53+D53</f>
        <v>10360.8</v>
      </c>
      <c r="G53" s="36">
        <f>'2020-2022 год Приложение  4'!H339</f>
        <v>0</v>
      </c>
      <c r="H53" s="36">
        <f>'2020-2022 год Приложение  4'!I339</f>
        <v>0</v>
      </c>
    </row>
    <row r="54" spans="1:8" ht="78.75">
      <c r="A54" s="162" t="s">
        <v>424</v>
      </c>
      <c r="B54" s="42" t="s">
        <v>425</v>
      </c>
      <c r="C54" s="35"/>
      <c r="D54" s="36">
        <f>D55</f>
        <v>1241.8</v>
      </c>
      <c r="E54" s="36">
        <f>E55</f>
        <v>0</v>
      </c>
      <c r="F54" s="36">
        <f>F55</f>
        <v>1241.8</v>
      </c>
      <c r="G54" s="36">
        <f>'2020-2022 год Приложение  4'!H340</f>
        <v>0</v>
      </c>
      <c r="H54" s="36">
        <f>'2020-2022 год Приложение  4'!I340</f>
        <v>0</v>
      </c>
    </row>
    <row r="55" spans="1:8" ht="15.75">
      <c r="A55" s="22" t="s">
        <v>9</v>
      </c>
      <c r="B55" s="42" t="s">
        <v>425</v>
      </c>
      <c r="C55" s="42" t="s">
        <v>12</v>
      </c>
      <c r="D55" s="36">
        <f>'2020-2022 год Приложение  4'!E341</f>
        <v>1241.8</v>
      </c>
      <c r="E55" s="36">
        <f>'2020-2022 год Приложение  4'!F341</f>
        <v>0</v>
      </c>
      <c r="F55" s="36">
        <f>D55+E55</f>
        <v>1241.8</v>
      </c>
      <c r="G55" s="36">
        <f>'2020-2022 год Приложение  4'!H341</f>
        <v>0</v>
      </c>
      <c r="H55" s="36">
        <f>'2020-2022 год Приложение  4'!I341</f>
        <v>0</v>
      </c>
    </row>
    <row r="56" spans="1:8" ht="78.75">
      <c r="A56" s="162" t="s">
        <v>426</v>
      </c>
      <c r="B56" s="42" t="s">
        <v>455</v>
      </c>
      <c r="C56" s="42"/>
      <c r="D56" s="36">
        <f>D57</f>
        <v>542</v>
      </c>
      <c r="E56" s="36">
        <f>'2020-2022 год Приложение  4'!F342</f>
        <v>0</v>
      </c>
      <c r="F56" s="36">
        <f>F57</f>
        <v>542</v>
      </c>
      <c r="G56" s="36">
        <f>'2020-2022 год Приложение  4'!H342</f>
        <v>0</v>
      </c>
      <c r="H56" s="36">
        <f>'2020-2022 год Приложение  4'!I342</f>
        <v>0</v>
      </c>
    </row>
    <row r="57" spans="1:8" ht="15.75">
      <c r="A57" s="162" t="s">
        <v>9</v>
      </c>
      <c r="B57" s="42" t="s">
        <v>455</v>
      </c>
      <c r="C57" s="42" t="s">
        <v>12</v>
      </c>
      <c r="D57" s="128">
        <f>'2020-2022 год Приложение  4'!E343</f>
        <v>542</v>
      </c>
      <c r="E57" s="128">
        <f>'2020-2022 год Приложение  4'!F343</f>
        <v>0</v>
      </c>
      <c r="F57" s="128">
        <f>D57+E57</f>
        <v>542</v>
      </c>
      <c r="G57" s="128">
        <f>'2020-2022 год Приложение  4'!H343</f>
        <v>0</v>
      </c>
      <c r="H57" s="128">
        <f>'2020-2022 год Приложение  4'!I343</f>
        <v>0</v>
      </c>
    </row>
    <row r="58" spans="1:8" ht="78.75">
      <c r="A58" s="162" t="s">
        <v>412</v>
      </c>
      <c r="B58" s="42" t="s">
        <v>423</v>
      </c>
      <c r="C58" s="42"/>
      <c r="D58" s="20">
        <f>D59</f>
        <v>521.6</v>
      </c>
      <c r="E58" s="20">
        <f>E59</f>
        <v>0</v>
      </c>
      <c r="F58" s="20">
        <f>F59</f>
        <v>521.6</v>
      </c>
      <c r="G58" s="20">
        <f>G59</f>
        <v>0</v>
      </c>
      <c r="H58" s="20">
        <f>H59</f>
        <v>0</v>
      </c>
    </row>
    <row r="59" spans="1:8" ht="15.75">
      <c r="A59" s="54" t="s">
        <v>9</v>
      </c>
      <c r="B59" s="42" t="s">
        <v>423</v>
      </c>
      <c r="C59" s="42" t="s">
        <v>12</v>
      </c>
      <c r="D59" s="20">
        <f>'2020-2022 год Приложение  4'!E345</f>
        <v>521.6</v>
      </c>
      <c r="E59" s="20">
        <f>'2020-2022 год Приложение  4'!F345</f>
        <v>0</v>
      </c>
      <c r="F59" s="20">
        <f>'2020-2022 год Приложение  4'!G345</f>
        <v>521.6</v>
      </c>
      <c r="G59" s="20">
        <f>'2020-2022 год Приложение  4'!H345</f>
        <v>0</v>
      </c>
      <c r="H59" s="20">
        <f>'2020-2022 год Приложение  4'!I345</f>
        <v>0</v>
      </c>
    </row>
    <row r="60" spans="1:8" ht="63">
      <c r="A60" s="22" t="s">
        <v>462</v>
      </c>
      <c r="B60" s="27" t="s">
        <v>461</v>
      </c>
      <c r="C60" s="42"/>
      <c r="D60" s="20">
        <f>D61</f>
        <v>0</v>
      </c>
      <c r="E60" s="20">
        <f>E61</f>
        <v>308.1</v>
      </c>
      <c r="F60" s="20">
        <f>F61</f>
        <v>308.1</v>
      </c>
      <c r="G60" s="20">
        <f>G61</f>
        <v>0</v>
      </c>
      <c r="H60" s="20">
        <f>H61</f>
        <v>0</v>
      </c>
    </row>
    <row r="61" spans="1:8" ht="47.25">
      <c r="A61" s="54" t="s">
        <v>449</v>
      </c>
      <c r="B61" s="27" t="s">
        <v>461</v>
      </c>
      <c r="C61" s="42" t="s">
        <v>8</v>
      </c>
      <c r="D61" s="20">
        <f>'2020-2022 год Приложение  4'!E66</f>
        <v>0</v>
      </c>
      <c r="E61" s="20">
        <f>'2020-2022 год Приложение  4'!F66</f>
        <v>308.1</v>
      </c>
      <c r="F61" s="20">
        <f>'2020-2022 год Приложение  4'!G66</f>
        <v>308.1</v>
      </c>
      <c r="G61" s="20">
        <v>0</v>
      </c>
      <c r="H61" s="20">
        <v>0</v>
      </c>
    </row>
    <row r="62" spans="1:8" ht="31.5">
      <c r="A62" s="22" t="s">
        <v>472</v>
      </c>
      <c r="B62" s="27" t="s">
        <v>471</v>
      </c>
      <c r="C62" s="42"/>
      <c r="D62" s="20">
        <f>D63</f>
        <v>0</v>
      </c>
      <c r="E62" s="20">
        <f>E63</f>
        <v>3227.2000000000003</v>
      </c>
      <c r="F62" s="20">
        <f>F63</f>
        <v>3227.2000000000003</v>
      </c>
      <c r="G62" s="20">
        <f>G63</f>
        <v>0</v>
      </c>
      <c r="H62" s="20">
        <f>H63</f>
        <v>0</v>
      </c>
    </row>
    <row r="63" spans="1:8" ht="47.25">
      <c r="A63" s="45" t="s">
        <v>449</v>
      </c>
      <c r="B63" s="27" t="s">
        <v>471</v>
      </c>
      <c r="C63" s="42" t="s">
        <v>8</v>
      </c>
      <c r="D63" s="20">
        <f>'2020-2022 год Приложение  4'!E68</f>
        <v>0</v>
      </c>
      <c r="E63" s="20">
        <f>'2020-2022 год Приложение  4'!F68</f>
        <v>3227.2000000000003</v>
      </c>
      <c r="F63" s="20">
        <f>E63+D63</f>
        <v>3227.2000000000003</v>
      </c>
      <c r="G63" s="20">
        <f>'2020-2022 год Приложение  4'!H68</f>
        <v>0</v>
      </c>
      <c r="H63" s="20">
        <f>'2020-2022 год Приложение  4'!I68</f>
        <v>0</v>
      </c>
    </row>
    <row r="64" spans="1:8" ht="42" customHeight="1">
      <c r="A64" s="22" t="s">
        <v>377</v>
      </c>
      <c r="B64" s="27" t="s">
        <v>348</v>
      </c>
      <c r="C64" s="42"/>
      <c r="D64" s="20">
        <f>D65</f>
        <v>100</v>
      </c>
      <c r="E64" s="20">
        <f>E65</f>
        <v>0</v>
      </c>
      <c r="F64" s="20">
        <f>F65</f>
        <v>100</v>
      </c>
      <c r="G64" s="20">
        <f>G65</f>
        <v>100</v>
      </c>
      <c r="H64" s="20">
        <f>H65</f>
        <v>100</v>
      </c>
    </row>
    <row r="65" spans="1:8" ht="47.25">
      <c r="A65" s="45" t="s">
        <v>449</v>
      </c>
      <c r="B65" s="27" t="s">
        <v>348</v>
      </c>
      <c r="C65" s="42" t="s">
        <v>8</v>
      </c>
      <c r="D65" s="20">
        <f>'2020-2022 год Приложение  4'!E70</f>
        <v>100</v>
      </c>
      <c r="E65" s="20">
        <f>'2020-2022 год Приложение  4'!F70</f>
        <v>0</v>
      </c>
      <c r="F65" s="20">
        <f>'2020-2022 год Приложение  4'!G70</f>
        <v>100</v>
      </c>
      <c r="G65" s="20">
        <f>'2020-2022 год Приложение  4'!H70</f>
        <v>100</v>
      </c>
      <c r="H65" s="20">
        <f>'2020-2022 год Приложение  4'!I70</f>
        <v>100</v>
      </c>
    </row>
    <row r="66" spans="1:8" ht="31.5">
      <c r="A66" s="22" t="s">
        <v>246</v>
      </c>
      <c r="B66" s="27" t="s">
        <v>344</v>
      </c>
      <c r="C66" s="42"/>
      <c r="D66" s="20">
        <f>D67</f>
        <v>157.1</v>
      </c>
      <c r="E66" s="20">
        <f>E67</f>
        <v>0</v>
      </c>
      <c r="F66" s="20">
        <f>F67</f>
        <v>157.1</v>
      </c>
      <c r="G66" s="20">
        <f>G67</f>
        <v>1151.3999999999996</v>
      </c>
      <c r="H66" s="20">
        <f>H67</f>
        <v>0</v>
      </c>
    </row>
    <row r="67" spans="1:8" ht="47.25">
      <c r="A67" s="45" t="s">
        <v>449</v>
      </c>
      <c r="B67" s="27" t="s">
        <v>344</v>
      </c>
      <c r="C67" s="42" t="s">
        <v>8</v>
      </c>
      <c r="D67" s="20">
        <f>'2020-2022 год Приложение  4'!E72</f>
        <v>157.1</v>
      </c>
      <c r="E67" s="20">
        <f>'2020-2022 год Приложение  4'!F72</f>
        <v>0</v>
      </c>
      <c r="F67" s="20">
        <f>'2020-2022 год Приложение  4'!G72</f>
        <v>157.1</v>
      </c>
      <c r="G67" s="20">
        <f>'2020-2022 год Приложение  4'!H72</f>
        <v>1151.3999999999996</v>
      </c>
      <c r="H67" s="20">
        <f>'2020-2022 год Приложение  4'!I72</f>
        <v>0</v>
      </c>
    </row>
    <row r="68" spans="1:8" ht="31.5">
      <c r="A68" s="22" t="s">
        <v>345</v>
      </c>
      <c r="B68" s="27" t="s">
        <v>346</v>
      </c>
      <c r="C68" s="42"/>
      <c r="D68" s="20">
        <f>D69</f>
        <v>92.1</v>
      </c>
      <c r="E68" s="20">
        <f>E69</f>
        <v>0</v>
      </c>
      <c r="F68" s="20">
        <f>F69</f>
        <v>92.1</v>
      </c>
      <c r="G68" s="20">
        <f>G69</f>
        <v>100</v>
      </c>
      <c r="H68" s="20">
        <f>H69</f>
        <v>100</v>
      </c>
    </row>
    <row r="69" spans="1:8" ht="47.25">
      <c r="A69" s="45" t="s">
        <v>449</v>
      </c>
      <c r="B69" s="27" t="s">
        <v>346</v>
      </c>
      <c r="C69" s="42" t="s">
        <v>8</v>
      </c>
      <c r="D69" s="20">
        <f>'2020-2022 год Приложение  4'!E74</f>
        <v>92.1</v>
      </c>
      <c r="E69" s="20">
        <f>'2020-2022 год Приложение  4'!F74</f>
        <v>0</v>
      </c>
      <c r="F69" s="20">
        <f>'2020-2022 год Приложение  4'!G74</f>
        <v>92.1</v>
      </c>
      <c r="G69" s="20">
        <f>'2020-2022 год Приложение  4'!H74</f>
        <v>100</v>
      </c>
      <c r="H69" s="20">
        <f>'2020-2022 год Приложение  4'!I74</f>
        <v>100</v>
      </c>
    </row>
    <row r="70" spans="1:8" ht="31.5">
      <c r="A70" s="45" t="s">
        <v>457</v>
      </c>
      <c r="B70" s="164" t="s">
        <v>456</v>
      </c>
      <c r="C70" s="165"/>
      <c r="D70" s="20">
        <f>D71</f>
        <v>56</v>
      </c>
      <c r="E70" s="20">
        <f>E71</f>
        <v>0</v>
      </c>
      <c r="F70" s="20">
        <f>F71</f>
        <v>56</v>
      </c>
      <c r="G70" s="20">
        <f>G71</f>
        <v>0</v>
      </c>
      <c r="H70" s="20">
        <f>H71</f>
        <v>0</v>
      </c>
    </row>
    <row r="71" spans="1:8" ht="47.25">
      <c r="A71" s="45" t="s">
        <v>449</v>
      </c>
      <c r="B71" s="164" t="s">
        <v>456</v>
      </c>
      <c r="C71" s="165" t="s">
        <v>8</v>
      </c>
      <c r="D71" s="20">
        <f>'2020-2022 год Приложение  4'!E347</f>
        <v>56</v>
      </c>
      <c r="E71" s="20">
        <f>'2020-2022 год Приложение  4'!F347</f>
        <v>0</v>
      </c>
      <c r="F71" s="20">
        <f>E71+D71</f>
        <v>56</v>
      </c>
      <c r="G71" s="20">
        <f>'2020-2022 год Приложение  4'!H347</f>
        <v>0</v>
      </c>
      <c r="H71" s="20">
        <f>'2020-2022 год Приложение  4'!I347</f>
        <v>0</v>
      </c>
    </row>
    <row r="72" spans="1:8" ht="63">
      <c r="A72" s="51" t="s">
        <v>335</v>
      </c>
      <c r="B72" s="21" t="s">
        <v>374</v>
      </c>
      <c r="C72" s="21"/>
      <c r="D72" s="20">
        <f>D73+D74</f>
        <v>93368.5</v>
      </c>
      <c r="E72" s="20">
        <f>E73+E74</f>
        <v>0</v>
      </c>
      <c r="F72" s="20">
        <f>F73+F74</f>
        <v>93368.5</v>
      </c>
      <c r="G72" s="20">
        <f>G73+G74</f>
        <v>31579</v>
      </c>
      <c r="H72" s="20">
        <f>H73+H74</f>
        <v>31579</v>
      </c>
    </row>
    <row r="73" spans="1:8" ht="31.5">
      <c r="A73" s="98" t="s">
        <v>29</v>
      </c>
      <c r="B73" s="21" t="s">
        <v>374</v>
      </c>
      <c r="C73" s="21" t="s">
        <v>24</v>
      </c>
      <c r="D73" s="20">
        <f>'2020-2022 год Приложение  4'!E76</f>
        <v>78144.1</v>
      </c>
      <c r="E73" s="20">
        <f>'2020-2022 год Приложение  4'!F76</f>
        <v>0</v>
      </c>
      <c r="F73" s="20">
        <f>E73+D73</f>
        <v>78144.1</v>
      </c>
      <c r="G73" s="20">
        <f>'2020-2022 год Приложение  4'!H76+'2020-2022 год Приложение  4'!H349</f>
        <v>31579</v>
      </c>
      <c r="H73" s="20">
        <f>'2020-2022 год Приложение  4'!I76+'2020-2022 год Приложение  4'!I349</f>
        <v>31579</v>
      </c>
    </row>
    <row r="74" spans="1:8" ht="15.75">
      <c r="A74" s="54" t="s">
        <v>9</v>
      </c>
      <c r="B74" s="21" t="s">
        <v>374</v>
      </c>
      <c r="C74" s="21" t="s">
        <v>12</v>
      </c>
      <c r="D74" s="20">
        <f>'2020-2022 год Приложение  4'!E349</f>
        <v>15224.4</v>
      </c>
      <c r="E74" s="20">
        <f>'2020-2022 год Приложение  4'!F349</f>
        <v>0</v>
      </c>
      <c r="F74" s="20">
        <f>E74+D74</f>
        <v>15224.4</v>
      </c>
      <c r="G74" s="20">
        <f>'2020-2022 год Приложение  4'!H349</f>
        <v>0</v>
      </c>
      <c r="H74" s="20">
        <f>'2020-2022 год Приложение  4'!I349</f>
        <v>0</v>
      </c>
    </row>
    <row r="75" spans="1:8" ht="31.5">
      <c r="A75" s="98" t="s">
        <v>276</v>
      </c>
      <c r="B75" s="35" t="s">
        <v>427</v>
      </c>
      <c r="C75" s="21"/>
      <c r="D75" s="20">
        <f>D77+D76</f>
        <v>21275.4</v>
      </c>
      <c r="E75" s="20">
        <f>E77+E76</f>
        <v>0</v>
      </c>
      <c r="F75" s="20">
        <f>F77+F76</f>
        <v>21275.4</v>
      </c>
      <c r="G75" s="20">
        <f>G77+G76</f>
        <v>0</v>
      </c>
      <c r="H75" s="20">
        <f>H77+H76</f>
        <v>0</v>
      </c>
    </row>
    <row r="76" spans="1:8" ht="31.5">
      <c r="A76" s="98" t="s">
        <v>29</v>
      </c>
      <c r="B76" s="35" t="s">
        <v>427</v>
      </c>
      <c r="C76" s="35" t="s">
        <v>24</v>
      </c>
      <c r="D76" s="20">
        <f>'2020-2022 год Приложение  4'!E78</f>
        <v>13597.4</v>
      </c>
      <c r="E76" s="20">
        <f>'2020-2022 год Приложение  4'!F78</f>
        <v>0</v>
      </c>
      <c r="F76" s="20">
        <f>D76+E76</f>
        <v>13597.4</v>
      </c>
      <c r="G76" s="20">
        <f>'2020-2022 год Приложение  4'!H78</f>
        <v>0</v>
      </c>
      <c r="H76" s="20">
        <f>'2020-2022 год Приложение  4'!I78</f>
        <v>0</v>
      </c>
    </row>
    <row r="77" spans="1:8" ht="15.75">
      <c r="A77" s="98" t="s">
        <v>9</v>
      </c>
      <c r="B77" s="35" t="s">
        <v>427</v>
      </c>
      <c r="C77" s="35" t="s">
        <v>12</v>
      </c>
      <c r="D77" s="20">
        <f>'2020-2022 год Приложение  4'!E351</f>
        <v>7678</v>
      </c>
      <c r="E77" s="20">
        <f>'2020-2022 год Приложение  4'!F351</f>
        <v>0</v>
      </c>
      <c r="F77" s="20">
        <f>D77+E77</f>
        <v>7678</v>
      </c>
      <c r="G77" s="20">
        <f>'2020-2022 год Приложение  4'!H351</f>
        <v>0</v>
      </c>
      <c r="H77" s="20">
        <f>'2020-2022 год Приложение  4'!I351</f>
        <v>0</v>
      </c>
    </row>
    <row r="78" spans="1:8" ht="31.5">
      <c r="A78" s="98" t="s">
        <v>276</v>
      </c>
      <c r="B78" s="35" t="s">
        <v>282</v>
      </c>
      <c r="C78" s="35"/>
      <c r="D78" s="20">
        <f>D79+D80</f>
        <v>895.8</v>
      </c>
      <c r="E78" s="20">
        <f>E79+E80</f>
        <v>0</v>
      </c>
      <c r="F78" s="20">
        <f>F79+F80</f>
        <v>895.8</v>
      </c>
      <c r="G78" s="20">
        <f>G79+G80</f>
        <v>3988.8</v>
      </c>
      <c r="H78" s="20">
        <f>H79+H80</f>
        <v>2274.7</v>
      </c>
    </row>
    <row r="79" spans="1:8" ht="31.5">
      <c r="A79" s="98" t="s">
        <v>29</v>
      </c>
      <c r="B79" s="35" t="s">
        <v>282</v>
      </c>
      <c r="C79" s="35" t="s">
        <v>24</v>
      </c>
      <c r="D79" s="20">
        <f>'2020-2022 год Приложение  4'!E80</f>
        <v>572.5</v>
      </c>
      <c r="E79" s="20">
        <f>'2020-2022 год Приложение  4'!F80</f>
        <v>0</v>
      </c>
      <c r="F79" s="20">
        <f>'2020-2022 год Приложение  4'!G80</f>
        <v>572.5</v>
      </c>
      <c r="G79" s="20">
        <f>'2020-2022 год Приложение  4'!H80</f>
        <v>1392.1000000000001</v>
      </c>
      <c r="H79" s="20">
        <f>'2020-2022 год Приложение  4'!I80</f>
        <v>613.5</v>
      </c>
    </row>
    <row r="80" spans="1:8" ht="15.75">
      <c r="A80" s="98" t="s">
        <v>9</v>
      </c>
      <c r="B80" s="35" t="s">
        <v>282</v>
      </c>
      <c r="C80" s="35" t="s">
        <v>12</v>
      </c>
      <c r="D80" s="20">
        <f>'2020-2022 год Приложение  4'!E353</f>
        <v>323.3</v>
      </c>
      <c r="E80" s="20">
        <f>'2020-2022 год Приложение  4'!F353</f>
        <v>0</v>
      </c>
      <c r="F80" s="20">
        <f>'2020-2022 год Приложение  4'!G353</f>
        <v>323.3</v>
      </c>
      <c r="G80" s="20">
        <f>'2020-2022 год Приложение  4'!H353</f>
        <v>2596.7000000000003</v>
      </c>
      <c r="H80" s="20">
        <f>'2020-2022 год Приложение  4'!I353</f>
        <v>1661.2</v>
      </c>
    </row>
    <row r="81" spans="1:8" ht="29.25" customHeight="1">
      <c r="A81" s="98" t="s">
        <v>276</v>
      </c>
      <c r="B81" s="35" t="s">
        <v>283</v>
      </c>
      <c r="C81" s="35"/>
      <c r="D81" s="20">
        <f>D82+D83</f>
        <v>223.89999999999998</v>
      </c>
      <c r="E81" s="20">
        <f>E82+E83</f>
        <v>0</v>
      </c>
      <c r="F81" s="20">
        <f>F82+F83</f>
        <v>223.89999999999998</v>
      </c>
      <c r="G81" s="20">
        <f>G82+G83</f>
        <v>1510.8</v>
      </c>
      <c r="H81" s="20">
        <f>H82+H83</f>
        <v>0</v>
      </c>
    </row>
    <row r="82" spans="1:8" ht="31.5">
      <c r="A82" s="98" t="s">
        <v>29</v>
      </c>
      <c r="B82" s="35" t="s">
        <v>283</v>
      </c>
      <c r="C82" s="35" t="s">
        <v>24</v>
      </c>
      <c r="D82" s="20">
        <f>'2020-2022 год Приложение  4'!E82</f>
        <v>143.1</v>
      </c>
      <c r="E82" s="20">
        <f>'2020-2022 год Приложение  4'!F82</f>
        <v>0</v>
      </c>
      <c r="F82" s="20">
        <f>'2020-2022 год Приложение  4'!G82</f>
        <v>143.1</v>
      </c>
      <c r="G82" s="20">
        <f>'2020-2022 год Приложение  4'!H82</f>
        <v>498.7</v>
      </c>
      <c r="H82" s="20">
        <f>'2020-2022 год Приложение  4'!I355+'2020-2022 год Приложение  4'!I82</f>
        <v>0</v>
      </c>
    </row>
    <row r="83" spans="1:8" ht="15.75">
      <c r="A83" s="98" t="s">
        <v>9</v>
      </c>
      <c r="B83" s="35" t="s">
        <v>283</v>
      </c>
      <c r="C83" s="35" t="s">
        <v>12</v>
      </c>
      <c r="D83" s="20">
        <f>'2020-2022 год Приложение  4'!E355</f>
        <v>80.8</v>
      </c>
      <c r="E83" s="20">
        <f>'2020-2022 год Приложение  4'!F355</f>
        <v>0</v>
      </c>
      <c r="F83" s="20">
        <f>'2020-2022 год Приложение  4'!G355</f>
        <v>80.8</v>
      </c>
      <c r="G83" s="20">
        <f>'2020-2022 год Приложение  4'!H355</f>
        <v>1012.1</v>
      </c>
      <c r="H83" s="20">
        <f>'2020-2022 год Приложение  4'!I355</f>
        <v>0</v>
      </c>
    </row>
    <row r="84" spans="1:8" ht="15.75">
      <c r="A84" s="10" t="s">
        <v>57</v>
      </c>
      <c r="B84" s="11" t="s">
        <v>176</v>
      </c>
      <c r="C84" s="11" t="s">
        <v>0</v>
      </c>
      <c r="D84" s="12">
        <f>D85+D87+D91+D99+D89+D93+D95+D97</f>
        <v>36964.1</v>
      </c>
      <c r="E84" s="12">
        <f>E85+E87+E91+E99+E89+E93+E95+E97</f>
        <v>0</v>
      </c>
      <c r="F84" s="12">
        <f>F85+F87+F91+F99+F89+F93+F95+F97</f>
        <v>36964.1</v>
      </c>
      <c r="G84" s="12">
        <f>G85+G87+G91+G99+G89+G93+G95+G97</f>
        <v>37562.6</v>
      </c>
      <c r="H84" s="12">
        <f>H85+H87+H91+H99+H89+H93+H95+H97</f>
        <v>37702.1</v>
      </c>
    </row>
    <row r="85" spans="1:8" ht="31.5">
      <c r="A85" s="14" t="s">
        <v>37</v>
      </c>
      <c r="B85" s="15" t="s">
        <v>349</v>
      </c>
      <c r="C85" s="58"/>
      <c r="D85" s="43">
        <f>D86</f>
        <v>5087.1</v>
      </c>
      <c r="E85" s="43">
        <f>E86</f>
        <v>0</v>
      </c>
      <c r="F85" s="43">
        <f>F86</f>
        <v>5087.1</v>
      </c>
      <c r="G85" s="43">
        <f>G86</f>
        <v>5358</v>
      </c>
      <c r="H85" s="43">
        <f>H86</f>
        <v>5630</v>
      </c>
    </row>
    <row r="86" spans="1:8" ht="47.25">
      <c r="A86" s="45" t="s">
        <v>449</v>
      </c>
      <c r="B86" s="15" t="s">
        <v>349</v>
      </c>
      <c r="C86" s="42" t="s">
        <v>8</v>
      </c>
      <c r="D86" s="20">
        <f>'2020-2022 год Приложение  4'!E85</f>
        <v>5087.1</v>
      </c>
      <c r="E86" s="20">
        <f>'2020-2022 год Приложение  4'!F85</f>
        <v>0</v>
      </c>
      <c r="F86" s="20">
        <f>'2020-2022 год Приложение  4'!G85</f>
        <v>5087.1</v>
      </c>
      <c r="G86" s="20">
        <f>'2020-2022 год Приложение  4'!H85</f>
        <v>5358</v>
      </c>
      <c r="H86" s="20">
        <f>'2020-2022 год Приложение  4'!I85</f>
        <v>5630</v>
      </c>
    </row>
    <row r="87" spans="1:8" ht="31.5">
      <c r="A87" s="14" t="s">
        <v>37</v>
      </c>
      <c r="B87" s="15" t="s">
        <v>350</v>
      </c>
      <c r="C87" s="15"/>
      <c r="D87" s="43">
        <f>D88</f>
        <v>1229.4</v>
      </c>
      <c r="E87" s="43">
        <f>E88</f>
        <v>0</v>
      </c>
      <c r="F87" s="43">
        <f>F88</f>
        <v>1229.4</v>
      </c>
      <c r="G87" s="43">
        <f>G88</f>
        <v>1229.4</v>
      </c>
      <c r="H87" s="43">
        <f>H88</f>
        <v>1229.4</v>
      </c>
    </row>
    <row r="88" spans="1:8" ht="47.25">
      <c r="A88" s="45" t="s">
        <v>449</v>
      </c>
      <c r="B88" s="15" t="s">
        <v>350</v>
      </c>
      <c r="C88" s="42" t="s">
        <v>8</v>
      </c>
      <c r="D88" s="20">
        <f>'2020-2022 год Приложение  4'!E87</f>
        <v>1229.4</v>
      </c>
      <c r="E88" s="20">
        <f>'2020-2022 год Приложение  4'!F87</f>
        <v>0</v>
      </c>
      <c r="F88" s="20">
        <f>'2020-2022 год Приложение  4'!G87</f>
        <v>1229.4</v>
      </c>
      <c r="G88" s="20">
        <f>'2020-2022 год Приложение  4'!H87</f>
        <v>1229.4</v>
      </c>
      <c r="H88" s="20">
        <f>'2020-2022 год Приложение  4'!I87</f>
        <v>1229.4</v>
      </c>
    </row>
    <row r="89" spans="1:8" ht="31.5">
      <c r="A89" s="22" t="s">
        <v>38</v>
      </c>
      <c r="B89" s="21" t="s">
        <v>177</v>
      </c>
      <c r="C89" s="21"/>
      <c r="D89" s="20">
        <f>D90</f>
        <v>8855.3</v>
      </c>
      <c r="E89" s="20">
        <f>E90</f>
        <v>0</v>
      </c>
      <c r="F89" s="20">
        <f>F90</f>
        <v>8855.3</v>
      </c>
      <c r="G89" s="20">
        <f>G90</f>
        <v>8600.8</v>
      </c>
      <c r="H89" s="20">
        <f>H90</f>
        <v>9298.8</v>
      </c>
    </row>
    <row r="90" spans="1:8" ht="47.25">
      <c r="A90" s="45" t="s">
        <v>449</v>
      </c>
      <c r="B90" s="21" t="s">
        <v>177</v>
      </c>
      <c r="C90" s="21" t="s">
        <v>8</v>
      </c>
      <c r="D90" s="20">
        <f>'2020-2022 год Приложение  4'!E89</f>
        <v>8855.3</v>
      </c>
      <c r="E90" s="20">
        <f>'2020-2022 год Приложение  4'!F89</f>
        <v>0</v>
      </c>
      <c r="F90" s="20">
        <f>'2020-2022 год Приложение  4'!G89</f>
        <v>8855.3</v>
      </c>
      <c r="G90" s="20">
        <f>'2020-2022 год Приложение  4'!H89</f>
        <v>8600.8</v>
      </c>
      <c r="H90" s="20">
        <f>'2020-2022 год Приложение  4'!I89</f>
        <v>9298.8</v>
      </c>
    </row>
    <row r="91" spans="1:8" ht="31.5">
      <c r="A91" s="40" t="s">
        <v>38</v>
      </c>
      <c r="B91" s="15" t="s">
        <v>351</v>
      </c>
      <c r="C91" s="42"/>
      <c r="D91" s="43">
        <f>D92</f>
        <v>12445</v>
      </c>
      <c r="E91" s="43">
        <f>E92</f>
        <v>0</v>
      </c>
      <c r="F91" s="43">
        <f>F92</f>
        <v>12445</v>
      </c>
      <c r="G91" s="43">
        <f>G92</f>
        <v>12445</v>
      </c>
      <c r="H91" s="43">
        <f>H92</f>
        <v>12445</v>
      </c>
    </row>
    <row r="92" spans="1:8" ht="47.25">
      <c r="A92" s="45" t="s">
        <v>449</v>
      </c>
      <c r="B92" s="15" t="s">
        <v>351</v>
      </c>
      <c r="C92" s="42" t="s">
        <v>8</v>
      </c>
      <c r="D92" s="20">
        <f>'2020-2022 год Приложение  4'!E91</f>
        <v>12445</v>
      </c>
      <c r="E92" s="20">
        <f>'2020-2022 год Приложение  4'!F91</f>
        <v>0</v>
      </c>
      <c r="F92" s="20">
        <f>'2020-2022 год Приложение  4'!G91</f>
        <v>12445</v>
      </c>
      <c r="G92" s="20">
        <f>'2020-2022 год Приложение  4'!H91</f>
        <v>12445</v>
      </c>
      <c r="H92" s="20">
        <f>'2020-2022 год Приложение  4'!I91</f>
        <v>12445</v>
      </c>
    </row>
    <row r="93" spans="1:8" ht="31.5">
      <c r="A93" s="45" t="s">
        <v>203</v>
      </c>
      <c r="B93" s="15" t="s">
        <v>178</v>
      </c>
      <c r="C93" s="42"/>
      <c r="D93" s="20">
        <f>'2020-2022 год Приложение  4'!E92</f>
        <v>6596.5</v>
      </c>
      <c r="E93" s="20">
        <f>'2020-2022 год Приложение  4'!F92</f>
        <v>0</v>
      </c>
      <c r="F93" s="20">
        <f>'2020-2022 год Приложение  4'!G92</f>
        <v>6596.5</v>
      </c>
      <c r="G93" s="20">
        <f>'2020-2022 год Приложение  4'!H92</f>
        <v>6628</v>
      </c>
      <c r="H93" s="20">
        <f>'2020-2022 год Приложение  4'!I92</f>
        <v>6054.1</v>
      </c>
    </row>
    <row r="94" spans="1:8" ht="47.25">
      <c r="A94" s="45" t="s">
        <v>449</v>
      </c>
      <c r="B94" s="15" t="s">
        <v>178</v>
      </c>
      <c r="C94" s="42" t="s">
        <v>8</v>
      </c>
      <c r="D94" s="20">
        <f>'2020-2022 год Приложение  4'!E93</f>
        <v>6596.5</v>
      </c>
      <c r="E94" s="20">
        <f>'2020-2022 год Приложение  4'!F93</f>
        <v>0</v>
      </c>
      <c r="F94" s="20">
        <f>'2020-2022 год Приложение  4'!G93</f>
        <v>6596.5</v>
      </c>
      <c r="G94" s="20">
        <f>'2020-2022 год Приложение  4'!H93</f>
        <v>6628</v>
      </c>
      <c r="H94" s="20">
        <f>'2020-2022 год Приложение  4'!I93</f>
        <v>6054.1</v>
      </c>
    </row>
    <row r="95" spans="1:8" ht="15.75">
      <c r="A95" s="45" t="s">
        <v>204</v>
      </c>
      <c r="B95" s="15" t="s">
        <v>205</v>
      </c>
      <c r="C95" s="42"/>
      <c r="D95" s="43">
        <f>D96</f>
        <v>473</v>
      </c>
      <c r="E95" s="43">
        <f>E96</f>
        <v>0</v>
      </c>
      <c r="F95" s="43">
        <f>F96</f>
        <v>473</v>
      </c>
      <c r="G95" s="43">
        <f>G96</f>
        <v>706.6</v>
      </c>
      <c r="H95" s="43">
        <f>H96</f>
        <v>450</v>
      </c>
    </row>
    <row r="96" spans="1:8" ht="47.25">
      <c r="A96" s="45" t="s">
        <v>449</v>
      </c>
      <c r="B96" s="15" t="s">
        <v>205</v>
      </c>
      <c r="C96" s="42" t="s">
        <v>8</v>
      </c>
      <c r="D96" s="43">
        <f>'2020-2022 год Приложение  4'!E95</f>
        <v>473</v>
      </c>
      <c r="E96" s="43">
        <f>'2020-2022 год Приложение  4'!F95</f>
        <v>0</v>
      </c>
      <c r="F96" s="43">
        <f>'2020-2022 год Приложение  4'!G95</f>
        <v>473</v>
      </c>
      <c r="G96" s="43">
        <f>'2020-2022 год Приложение  4'!H95</f>
        <v>706.6</v>
      </c>
      <c r="H96" s="43">
        <f>'2020-2022 год Приложение  4'!I95</f>
        <v>450</v>
      </c>
    </row>
    <row r="97" spans="1:8" ht="47.25">
      <c r="A97" s="40" t="s">
        <v>39</v>
      </c>
      <c r="B97" s="35" t="s">
        <v>439</v>
      </c>
      <c r="C97" s="42"/>
      <c r="D97" s="43">
        <f>D98</f>
        <v>195.9</v>
      </c>
      <c r="E97" s="43">
        <f>E98</f>
        <v>0</v>
      </c>
      <c r="F97" s="43">
        <f>F98</f>
        <v>195.9</v>
      </c>
      <c r="G97" s="43">
        <f>G98</f>
        <v>0</v>
      </c>
      <c r="H97" s="43">
        <f>H98</f>
        <v>0</v>
      </c>
    </row>
    <row r="98" spans="1:8" ht="15.75">
      <c r="A98" s="45" t="s">
        <v>9</v>
      </c>
      <c r="B98" s="35" t="s">
        <v>439</v>
      </c>
      <c r="C98" s="42" t="s">
        <v>12</v>
      </c>
      <c r="D98" s="43">
        <f>'2020-2022 год Приложение  4'!E97</f>
        <v>195.9</v>
      </c>
      <c r="E98" s="43">
        <f>'2020-2022 год Приложение  4'!F97</f>
        <v>0</v>
      </c>
      <c r="F98" s="43">
        <f>E98+D98</f>
        <v>195.9</v>
      </c>
      <c r="G98" s="43">
        <f>'2020-2022 год Приложение  4'!H97</f>
        <v>0</v>
      </c>
      <c r="H98" s="43">
        <f>'2020-2022 год Приложение  4'!I97</f>
        <v>0</v>
      </c>
    </row>
    <row r="99" spans="1:8" ht="47.25">
      <c r="A99" s="40" t="s">
        <v>39</v>
      </c>
      <c r="B99" s="35" t="s">
        <v>352</v>
      </c>
      <c r="C99" s="42"/>
      <c r="D99" s="43">
        <f>D100</f>
        <v>2081.9</v>
      </c>
      <c r="E99" s="43">
        <f>E100</f>
        <v>0</v>
      </c>
      <c r="F99" s="43">
        <f>F100</f>
        <v>2081.9</v>
      </c>
      <c r="G99" s="43">
        <f>G100</f>
        <v>2594.8</v>
      </c>
      <c r="H99" s="43">
        <f>H100</f>
        <v>2594.8</v>
      </c>
    </row>
    <row r="100" spans="1:8" ht="15.75">
      <c r="A100" s="45" t="s">
        <v>9</v>
      </c>
      <c r="B100" s="35" t="s">
        <v>352</v>
      </c>
      <c r="C100" s="42" t="s">
        <v>12</v>
      </c>
      <c r="D100" s="20">
        <f>'2020-2022 год Приложение  4'!E99</f>
        <v>2081.9</v>
      </c>
      <c r="E100" s="20">
        <f>'2020-2022 год Приложение  4'!F99</f>
        <v>0</v>
      </c>
      <c r="F100" s="20">
        <f>'2020-2022 год Приложение  4'!G99</f>
        <v>2081.9</v>
      </c>
      <c r="G100" s="20">
        <f>'2020-2022 год Приложение  4'!H99</f>
        <v>2594.8</v>
      </c>
      <c r="H100" s="20">
        <f>'2020-2022 год Приложение  4'!I99</f>
        <v>2594.8</v>
      </c>
    </row>
    <row r="101" spans="1:8" ht="31.5">
      <c r="A101" s="10" t="s">
        <v>299</v>
      </c>
      <c r="B101" s="11" t="s">
        <v>179</v>
      </c>
      <c r="C101" s="11" t="s">
        <v>0</v>
      </c>
      <c r="D101" s="12">
        <f>D104+D102</f>
        <v>1005.5</v>
      </c>
      <c r="E101" s="12">
        <f>E104+E102</f>
        <v>0</v>
      </c>
      <c r="F101" s="12">
        <f>F104+F102</f>
        <v>1005.5</v>
      </c>
      <c r="G101" s="12">
        <f>G104+G102</f>
        <v>212</v>
      </c>
      <c r="H101" s="12">
        <f>H104+H102</f>
        <v>212</v>
      </c>
    </row>
    <row r="102" spans="1:8" ht="31.5">
      <c r="A102" s="22" t="s">
        <v>58</v>
      </c>
      <c r="B102" s="27" t="s">
        <v>353</v>
      </c>
      <c r="C102" s="42"/>
      <c r="D102" s="43">
        <f>D103</f>
        <v>50</v>
      </c>
      <c r="E102" s="43">
        <f>E103</f>
        <v>0</v>
      </c>
      <c r="F102" s="43">
        <f>F103</f>
        <v>50</v>
      </c>
      <c r="G102" s="43">
        <f>G103</f>
        <v>50</v>
      </c>
      <c r="H102" s="43">
        <f>H103</f>
        <v>50</v>
      </c>
    </row>
    <row r="103" spans="1:8" ht="15.75">
      <c r="A103" s="40" t="s">
        <v>27</v>
      </c>
      <c r="B103" s="27" t="s">
        <v>353</v>
      </c>
      <c r="C103" s="21" t="s">
        <v>16</v>
      </c>
      <c r="D103" s="43">
        <f>'2020-2022 год Приложение  4'!E102</f>
        <v>50</v>
      </c>
      <c r="E103" s="43">
        <f>'2020-2022 год Приложение  4'!F102</f>
        <v>0</v>
      </c>
      <c r="F103" s="43">
        <f>'2020-2022 год Приложение  4'!G102</f>
        <v>50</v>
      </c>
      <c r="G103" s="43">
        <f>'2020-2022 год Приложение  4'!H102</f>
        <v>50</v>
      </c>
      <c r="H103" s="43">
        <f>'2020-2022 год Приложение  4'!I102</f>
        <v>50</v>
      </c>
    </row>
    <row r="104" spans="1:8" ht="31.5">
      <c r="A104" s="40" t="s">
        <v>46</v>
      </c>
      <c r="B104" s="27" t="s">
        <v>180</v>
      </c>
      <c r="C104" s="21"/>
      <c r="D104" s="20">
        <f>D105</f>
        <v>955.5</v>
      </c>
      <c r="E104" s="20">
        <f>E105</f>
        <v>0</v>
      </c>
      <c r="F104" s="20">
        <f>F105</f>
        <v>955.5</v>
      </c>
      <c r="G104" s="20">
        <f>G105</f>
        <v>162</v>
      </c>
      <c r="H104" s="20">
        <f>H105</f>
        <v>162</v>
      </c>
    </row>
    <row r="105" spans="1:8" ht="47.25">
      <c r="A105" s="45" t="s">
        <v>449</v>
      </c>
      <c r="B105" s="27" t="s">
        <v>180</v>
      </c>
      <c r="C105" s="42" t="s">
        <v>8</v>
      </c>
      <c r="D105" s="20">
        <f>'2020-2022 год Приложение  4'!E104+'2020-2022 год Приложение  4'!E463</f>
        <v>955.5</v>
      </c>
      <c r="E105" s="20">
        <f>'2020-2022 год Приложение  4'!F104+'2020-2022 год Приложение  4'!F463</f>
        <v>0</v>
      </c>
      <c r="F105" s="20">
        <f>'2020-2022 год Приложение  4'!G104+'2020-2022 год Приложение  4'!G463</f>
        <v>955.5</v>
      </c>
      <c r="G105" s="20">
        <f>'2020-2022 год Приложение  4'!H104+'2020-2022 год Приложение  4'!H463</f>
        <v>162</v>
      </c>
      <c r="H105" s="20">
        <f>'2020-2022 год Приложение  4'!I104+'2020-2022 год Приложение  4'!I463</f>
        <v>162</v>
      </c>
    </row>
    <row r="106" spans="1:8" ht="31.5">
      <c r="A106" s="10" t="s">
        <v>318</v>
      </c>
      <c r="B106" s="11" t="s">
        <v>215</v>
      </c>
      <c r="C106" s="11" t="s">
        <v>0</v>
      </c>
      <c r="D106" s="12">
        <f>D107+D109</f>
        <v>3575.2000000000003</v>
      </c>
      <c r="E106" s="12">
        <f>E107+E109</f>
        <v>0</v>
      </c>
      <c r="F106" s="12">
        <f>F107+F109</f>
        <v>3575.2000000000003</v>
      </c>
      <c r="G106" s="12">
        <f>G107+G109</f>
        <v>1049.9</v>
      </c>
      <c r="H106" s="12">
        <f>H107+H109</f>
        <v>1049.9</v>
      </c>
    </row>
    <row r="107" spans="1:8" ht="78.75">
      <c r="A107" s="23" t="s">
        <v>460</v>
      </c>
      <c r="B107" s="35" t="s">
        <v>354</v>
      </c>
      <c r="C107" s="21"/>
      <c r="D107" s="96">
        <f>'2020-2022 год Приложение  4'!E106</f>
        <v>1049.9</v>
      </c>
      <c r="E107" s="96">
        <f>'2020-2022 год Приложение  4'!F106</f>
        <v>0</v>
      </c>
      <c r="F107" s="96">
        <f>'2020-2022 год Приложение  4'!G106</f>
        <v>1049.9</v>
      </c>
      <c r="G107" s="96">
        <f>'2020-2022 год Приложение  4'!H106</f>
        <v>1049.9</v>
      </c>
      <c r="H107" s="96">
        <f>'2020-2022 год Приложение  4'!I106</f>
        <v>1049.9</v>
      </c>
    </row>
    <row r="108" spans="1:8" ht="47.25">
      <c r="A108" s="45" t="s">
        <v>449</v>
      </c>
      <c r="B108" s="35" t="s">
        <v>354</v>
      </c>
      <c r="C108" s="21" t="s">
        <v>8</v>
      </c>
      <c r="D108" s="96">
        <f>'2020-2022 год Приложение  4'!E107</f>
        <v>1049.9</v>
      </c>
      <c r="E108" s="96">
        <f>'2020-2022 год Приложение  4'!F107</f>
        <v>0</v>
      </c>
      <c r="F108" s="96">
        <f>'2020-2022 год Приложение  4'!G107</f>
        <v>1049.9</v>
      </c>
      <c r="G108" s="96">
        <f>'2020-2022 год Приложение  4'!H107</f>
        <v>1049.9</v>
      </c>
      <c r="H108" s="96">
        <f>'2020-2022 год Приложение  4'!I107</f>
        <v>1049.9</v>
      </c>
    </row>
    <row r="109" spans="1:8" ht="63">
      <c r="A109" s="23" t="s">
        <v>441</v>
      </c>
      <c r="B109" s="35" t="s">
        <v>440</v>
      </c>
      <c r="C109" s="97"/>
      <c r="D109" s="96">
        <f>D110</f>
        <v>2525.3</v>
      </c>
      <c r="E109" s="96">
        <f>E110</f>
        <v>0</v>
      </c>
      <c r="F109" s="96">
        <f>F110</f>
        <v>2525.3</v>
      </c>
      <c r="G109" s="96">
        <f>G110</f>
        <v>0</v>
      </c>
      <c r="H109" s="96">
        <f>H110</f>
        <v>0</v>
      </c>
    </row>
    <row r="110" spans="1:8" ht="15.75">
      <c r="A110" s="46" t="s">
        <v>42</v>
      </c>
      <c r="B110" s="7" t="s">
        <v>440</v>
      </c>
      <c r="C110" s="21" t="s">
        <v>43</v>
      </c>
      <c r="D110" s="96">
        <f>'2020-2022 год Приложение  4'!E109</f>
        <v>2525.3</v>
      </c>
      <c r="E110" s="96">
        <f>'2020-2022 год Приложение  4'!F109+'2020-2022 год Приложение  4'!F466</f>
        <v>0</v>
      </c>
      <c r="F110" s="96">
        <f>D110+E110</f>
        <v>2525.3</v>
      </c>
      <c r="G110" s="96">
        <f>'2020-2022 год Приложение  4'!H109</f>
        <v>0</v>
      </c>
      <c r="H110" s="96">
        <f>'2020-2022 год Приложение  4'!I109</f>
        <v>0</v>
      </c>
    </row>
    <row r="111" spans="1:8" ht="15.75">
      <c r="A111" s="29" t="s">
        <v>300</v>
      </c>
      <c r="B111" s="30" t="s">
        <v>109</v>
      </c>
      <c r="C111" s="30" t="s">
        <v>0</v>
      </c>
      <c r="D111" s="31">
        <f>D112+D129+D155+D181+D190</f>
        <v>1292336.0999999999</v>
      </c>
      <c r="E111" s="31">
        <f>E112+E129+E155+E181+E190</f>
        <v>-1808.200000000004</v>
      </c>
      <c r="F111" s="31">
        <f>F112+F129+F155+F181+F190</f>
        <v>1290527.9000000004</v>
      </c>
      <c r="G111" s="31">
        <f>G112+G129+G155+G181+G190</f>
        <v>1257926.7</v>
      </c>
      <c r="H111" s="31">
        <f>H112+H129+H155+H181+H190</f>
        <v>1305638.4999999995</v>
      </c>
    </row>
    <row r="112" spans="1:8" ht="15.75">
      <c r="A112" s="10" t="s">
        <v>301</v>
      </c>
      <c r="B112" s="11" t="s">
        <v>110</v>
      </c>
      <c r="C112" s="11" t="s">
        <v>0</v>
      </c>
      <c r="D112" s="12">
        <f>D113+D125+D119+D127+D117+D115+D123+D121</f>
        <v>511965.7</v>
      </c>
      <c r="E112" s="12">
        <f>E113+E125+E119+E127+E117+E115+E123+E121</f>
        <v>-22825.3</v>
      </c>
      <c r="F112" s="12">
        <f>F113+F125+F119+F127+F117+F115+F123+F121</f>
        <v>489140.4</v>
      </c>
      <c r="G112" s="12">
        <f>G113+G125+G119+G127+G117+G115+G123+G121</f>
        <v>479523.1</v>
      </c>
      <c r="H112" s="12">
        <f>H113+H125+H119+H127+H117+H115+H123+H121</f>
        <v>498323</v>
      </c>
    </row>
    <row r="113" spans="1:8" ht="15.75">
      <c r="A113" s="40" t="s">
        <v>25</v>
      </c>
      <c r="B113" s="42" t="s">
        <v>108</v>
      </c>
      <c r="C113" s="42"/>
      <c r="D113" s="43">
        <f>D114</f>
        <v>63198.9</v>
      </c>
      <c r="E113" s="43">
        <f>E114</f>
        <v>12428.9</v>
      </c>
      <c r="F113" s="43">
        <f>F114</f>
        <v>75627.8</v>
      </c>
      <c r="G113" s="43">
        <f>G114</f>
        <v>51878.4</v>
      </c>
      <c r="H113" s="43">
        <f>H114</f>
        <v>53778.6</v>
      </c>
    </row>
    <row r="114" spans="1:8" ht="31.5">
      <c r="A114" s="40" t="s">
        <v>10</v>
      </c>
      <c r="B114" s="42" t="s">
        <v>108</v>
      </c>
      <c r="C114" s="42" t="s">
        <v>11</v>
      </c>
      <c r="D114" s="43">
        <f>'2020-2022 год Приложение  4'!E378</f>
        <v>63198.9</v>
      </c>
      <c r="E114" s="43">
        <f>'2020-2022 год Приложение  4'!F378</f>
        <v>12428.9</v>
      </c>
      <c r="F114" s="43">
        <f>'2020-2022 год Приложение  4'!G378</f>
        <v>75627.8</v>
      </c>
      <c r="G114" s="43">
        <f>'2020-2022 год Приложение  4'!H378</f>
        <v>51878.4</v>
      </c>
      <c r="H114" s="43">
        <f>'2020-2022 год Приложение  4'!I378</f>
        <v>53778.6</v>
      </c>
    </row>
    <row r="115" spans="1:8" ht="31.5">
      <c r="A115" s="40" t="s">
        <v>261</v>
      </c>
      <c r="B115" s="42" t="s">
        <v>269</v>
      </c>
      <c r="C115" s="42"/>
      <c r="D115" s="43">
        <f>D116</f>
        <v>1780</v>
      </c>
      <c r="E115" s="43">
        <f>E116</f>
        <v>0</v>
      </c>
      <c r="F115" s="43">
        <f>F116</f>
        <v>1780</v>
      </c>
      <c r="G115" s="43">
        <f>G116</f>
        <v>1780</v>
      </c>
      <c r="H115" s="43">
        <f>H116</f>
        <v>1780</v>
      </c>
    </row>
    <row r="116" spans="1:8" ht="31.5">
      <c r="A116" s="40" t="s">
        <v>10</v>
      </c>
      <c r="B116" s="42" t="s">
        <v>269</v>
      </c>
      <c r="C116" s="42" t="s">
        <v>11</v>
      </c>
      <c r="D116" s="43">
        <f>'2020-2022 год Приложение  4'!E380</f>
        <v>1780</v>
      </c>
      <c r="E116" s="43">
        <f>'2020-2022 год Приложение  4'!F380</f>
        <v>0</v>
      </c>
      <c r="F116" s="43">
        <f>'2020-2022 год Приложение  4'!G380</f>
        <v>1780</v>
      </c>
      <c r="G116" s="43">
        <f>'2020-2022 год Приложение  4'!H380</f>
        <v>1780</v>
      </c>
      <c r="H116" s="43">
        <f>'2020-2022 год Приложение  4'!I380</f>
        <v>1780</v>
      </c>
    </row>
    <row r="117" spans="1:8" ht="47.25">
      <c r="A117" s="40" t="s">
        <v>63</v>
      </c>
      <c r="B117" s="42" t="s">
        <v>112</v>
      </c>
      <c r="C117" s="42"/>
      <c r="D117" s="43">
        <f>D118</f>
        <v>411362.5</v>
      </c>
      <c r="E117" s="43">
        <f>E118</f>
        <v>-14883.8</v>
      </c>
      <c r="F117" s="43">
        <f>F118</f>
        <v>396478.7</v>
      </c>
      <c r="G117" s="43">
        <f>G118</f>
        <v>399413.5</v>
      </c>
      <c r="H117" s="43">
        <f>H118</f>
        <v>415866.1</v>
      </c>
    </row>
    <row r="118" spans="1:8" ht="31.5">
      <c r="A118" s="40" t="s">
        <v>10</v>
      </c>
      <c r="B118" s="42" t="s">
        <v>112</v>
      </c>
      <c r="C118" s="42" t="s">
        <v>11</v>
      </c>
      <c r="D118" s="43">
        <f>'2020-2022 год Приложение  4'!E382</f>
        <v>411362.5</v>
      </c>
      <c r="E118" s="43">
        <f>'2020-2022 год Приложение  4'!F382</f>
        <v>-14883.8</v>
      </c>
      <c r="F118" s="43">
        <f>'2020-2022 год Приложение  4'!G382</f>
        <v>396478.7</v>
      </c>
      <c r="G118" s="43">
        <f>'2020-2022 год Приложение  4'!H382</f>
        <v>399413.5</v>
      </c>
      <c r="H118" s="43">
        <f>'2020-2022 год Приложение  4'!I382</f>
        <v>415866.1</v>
      </c>
    </row>
    <row r="119" spans="1:8" ht="31.5">
      <c r="A119" s="40" t="s">
        <v>26</v>
      </c>
      <c r="B119" s="42" t="s">
        <v>111</v>
      </c>
      <c r="C119" s="42"/>
      <c r="D119" s="43">
        <f>D120</f>
        <v>3521.7</v>
      </c>
      <c r="E119" s="43">
        <f>E120</f>
        <v>3214.9000000000005</v>
      </c>
      <c r="F119" s="43">
        <f>F120</f>
        <v>6736.6</v>
      </c>
      <c r="G119" s="43">
        <f>G120</f>
        <v>0</v>
      </c>
      <c r="H119" s="43">
        <f>H120</f>
        <v>0</v>
      </c>
    </row>
    <row r="120" spans="1:8" ht="31.5">
      <c r="A120" s="40" t="s">
        <v>10</v>
      </c>
      <c r="B120" s="42" t="s">
        <v>111</v>
      </c>
      <c r="C120" s="42" t="s">
        <v>11</v>
      </c>
      <c r="D120" s="43">
        <f>'2020-2022 год Приложение  4'!E384</f>
        <v>3521.7</v>
      </c>
      <c r="E120" s="43">
        <f>'2020-2022 год Приложение  4'!F384</f>
        <v>3214.9000000000005</v>
      </c>
      <c r="F120" s="43">
        <f>'2020-2022 год Приложение  4'!G384</f>
        <v>6736.6</v>
      </c>
      <c r="G120" s="43">
        <f>'2020-2022 год Приложение  4'!H384</f>
        <v>0</v>
      </c>
      <c r="H120" s="43">
        <f>'2020-2022 год Приложение  4'!I384</f>
        <v>0</v>
      </c>
    </row>
    <row r="121" spans="1:8" ht="31.5">
      <c r="A121" s="40" t="s">
        <v>416</v>
      </c>
      <c r="B121" s="42" t="s">
        <v>418</v>
      </c>
      <c r="C121" s="42"/>
      <c r="D121" s="43">
        <f>D122</f>
        <v>5231.7</v>
      </c>
      <c r="E121" s="43">
        <f>E122</f>
        <v>0</v>
      </c>
      <c r="F121" s="43">
        <f>F122</f>
        <v>5231.7</v>
      </c>
      <c r="G121" s="43">
        <f>G122</f>
        <v>0</v>
      </c>
      <c r="H121" s="43">
        <f>H122</f>
        <v>0</v>
      </c>
    </row>
    <row r="122" spans="1:8" ht="31.5">
      <c r="A122" s="40" t="s">
        <v>10</v>
      </c>
      <c r="B122" s="42" t="s">
        <v>418</v>
      </c>
      <c r="C122" s="42" t="s">
        <v>11</v>
      </c>
      <c r="D122" s="43">
        <f>'2020-2022 год Приложение  4'!E386</f>
        <v>5231.7</v>
      </c>
      <c r="E122" s="43">
        <f>'2020-2022 год Приложение  4'!F386</f>
        <v>0</v>
      </c>
      <c r="F122" s="43">
        <f>'2020-2022 год Приложение  4'!G386</f>
        <v>5231.7</v>
      </c>
      <c r="G122" s="43">
        <f>'2020-2022 год Приложение  4'!H386</f>
        <v>0</v>
      </c>
      <c r="H122" s="43">
        <f>'2020-2022 год Приложение  4'!I386</f>
        <v>0</v>
      </c>
    </row>
    <row r="123" spans="1:8" ht="31.5">
      <c r="A123" s="40" t="s">
        <v>202</v>
      </c>
      <c r="B123" s="42" t="s">
        <v>325</v>
      </c>
      <c r="C123" s="42"/>
      <c r="D123" s="43">
        <f>D124</f>
        <v>666.6</v>
      </c>
      <c r="E123" s="43">
        <f>E124</f>
        <v>0</v>
      </c>
      <c r="F123" s="43">
        <f>F124</f>
        <v>666.6</v>
      </c>
      <c r="G123" s="43">
        <f>G124</f>
        <v>0</v>
      </c>
      <c r="H123" s="43">
        <f>H124</f>
        <v>0</v>
      </c>
    </row>
    <row r="124" spans="1:8" ht="31.5">
      <c r="A124" s="40" t="s">
        <v>10</v>
      </c>
      <c r="B124" s="42" t="s">
        <v>325</v>
      </c>
      <c r="C124" s="42" t="s">
        <v>11</v>
      </c>
      <c r="D124" s="43">
        <f>'2020-2022 год Приложение  4'!E388</f>
        <v>666.6</v>
      </c>
      <c r="E124" s="43">
        <f>'2020-2022 год Приложение  4'!F388</f>
        <v>0</v>
      </c>
      <c r="F124" s="43">
        <f>'2020-2022 год Приложение  4'!G388</f>
        <v>666.6</v>
      </c>
      <c r="G124" s="43">
        <f>'2020-2022 год Приложение  4'!H388</f>
        <v>0</v>
      </c>
      <c r="H124" s="43">
        <f>'2020-2022 год Приложение  4'!I388</f>
        <v>0</v>
      </c>
    </row>
    <row r="125" spans="1:8" ht="63">
      <c r="A125" s="40" t="s">
        <v>62</v>
      </c>
      <c r="B125" s="42" t="s">
        <v>359</v>
      </c>
      <c r="C125" s="42"/>
      <c r="D125" s="43">
        <f>D126</f>
        <v>24355.3</v>
      </c>
      <c r="E125" s="43">
        <f>E126</f>
        <v>-23527.3</v>
      </c>
      <c r="F125" s="43">
        <f>F126</f>
        <v>828</v>
      </c>
      <c r="G125" s="43">
        <f>G126</f>
        <v>24505.2</v>
      </c>
      <c r="H125" s="43">
        <f>H126</f>
        <v>24828.3</v>
      </c>
    </row>
    <row r="126" spans="1:8" ht="31.5">
      <c r="A126" s="40" t="s">
        <v>10</v>
      </c>
      <c r="B126" s="42" t="s">
        <v>359</v>
      </c>
      <c r="C126" s="42" t="s">
        <v>11</v>
      </c>
      <c r="D126" s="43">
        <f>'2020-2022 год Приложение  4'!E390</f>
        <v>24355.3</v>
      </c>
      <c r="E126" s="43">
        <f>'2020-2022 год Приложение  4'!F390</f>
        <v>-23527.3</v>
      </c>
      <c r="F126" s="43">
        <f>'2020-2022 год Приложение  4'!G390</f>
        <v>828</v>
      </c>
      <c r="G126" s="43">
        <f>'2020-2022 год Приложение  4'!H390</f>
        <v>24505.2</v>
      </c>
      <c r="H126" s="43">
        <f>'2020-2022 год Приложение  4'!I390</f>
        <v>24828.3</v>
      </c>
    </row>
    <row r="127" spans="1:8" ht="94.5">
      <c r="A127" s="54" t="s">
        <v>194</v>
      </c>
      <c r="B127" s="42" t="s">
        <v>360</v>
      </c>
      <c r="C127" s="42"/>
      <c r="D127" s="43">
        <f>D128</f>
        <v>1849</v>
      </c>
      <c r="E127" s="43">
        <f>E128</f>
        <v>-58</v>
      </c>
      <c r="F127" s="43">
        <f>F128</f>
        <v>1791</v>
      </c>
      <c r="G127" s="43">
        <f>G128</f>
        <v>1946</v>
      </c>
      <c r="H127" s="43">
        <f>H128</f>
        <v>2070</v>
      </c>
    </row>
    <row r="128" spans="1:8" ht="15.75">
      <c r="A128" s="40" t="s">
        <v>27</v>
      </c>
      <c r="B128" s="42" t="s">
        <v>360</v>
      </c>
      <c r="C128" s="42" t="s">
        <v>16</v>
      </c>
      <c r="D128" s="43">
        <f>'2020-2022 год Приложение  4'!E392</f>
        <v>1849</v>
      </c>
      <c r="E128" s="43">
        <f>'2020-2022 год Приложение  4'!F392</f>
        <v>-58</v>
      </c>
      <c r="F128" s="43">
        <f>'2020-2022 год Приложение  4'!G392</f>
        <v>1791</v>
      </c>
      <c r="G128" s="43">
        <f>'2020-2022 год Приложение  4'!H392</f>
        <v>1946</v>
      </c>
      <c r="H128" s="43">
        <f>'2020-2022 год Приложение  4'!I392</f>
        <v>2070</v>
      </c>
    </row>
    <row r="129" spans="1:8" ht="15.75">
      <c r="A129" s="10" t="s">
        <v>302</v>
      </c>
      <c r="B129" s="11" t="s">
        <v>113</v>
      </c>
      <c r="C129" s="11" t="s">
        <v>0</v>
      </c>
      <c r="D129" s="12">
        <f>D130+D136+D147+D145+D134+D143+D141+D132+D153+D139+D149</f>
        <v>650580.4999999999</v>
      </c>
      <c r="E129" s="12">
        <f>E130+E136+E147+E145+E134+E143+E141+E132+E153+E139+E149+E151</f>
        <v>17620.799999999996</v>
      </c>
      <c r="F129" s="12">
        <f>F130+F136+F147+F145+F134+F143+F141+F132+F153+F139+F149+F151</f>
        <v>668201.3</v>
      </c>
      <c r="G129" s="12">
        <f>G130+G136+G147+G145+G134+G143+G141+G132+G153+G139+G149</f>
        <v>651787.9</v>
      </c>
      <c r="H129" s="12">
        <f>H130+H136+H147+H145+H134+H143+H141+H132+H153+H139+H149</f>
        <v>678974.2999999999</v>
      </c>
    </row>
    <row r="130" spans="1:8" ht="15.75">
      <c r="A130" s="40" t="s">
        <v>25</v>
      </c>
      <c r="B130" s="42" t="s">
        <v>114</v>
      </c>
      <c r="C130" s="42"/>
      <c r="D130" s="43">
        <f>D131</f>
        <v>102502.6</v>
      </c>
      <c r="E130" s="43">
        <f>E131</f>
        <v>12616.1</v>
      </c>
      <c r="F130" s="43">
        <f>F131</f>
        <v>115118.70000000001</v>
      </c>
      <c r="G130" s="43">
        <f>G131</f>
        <v>95107.3</v>
      </c>
      <c r="H130" s="43">
        <f>H131</f>
        <v>99469.2</v>
      </c>
    </row>
    <row r="131" spans="1:8" ht="31.5">
      <c r="A131" s="40" t="s">
        <v>10</v>
      </c>
      <c r="B131" s="42" t="s">
        <v>114</v>
      </c>
      <c r="C131" s="42" t="s">
        <v>11</v>
      </c>
      <c r="D131" s="43">
        <f>'2020-2022 год Приложение  4'!E395</f>
        <v>102502.6</v>
      </c>
      <c r="E131" s="43">
        <f>'2020-2022 год Приложение  4'!F395</f>
        <v>12616.1</v>
      </c>
      <c r="F131" s="43">
        <f>'2020-2022 год Приложение  4'!G395</f>
        <v>115118.70000000001</v>
      </c>
      <c r="G131" s="43">
        <f>'2020-2022 год Приложение  4'!H395</f>
        <v>95107.3</v>
      </c>
      <c r="H131" s="43">
        <f>'2020-2022 год Приложение  4'!I395</f>
        <v>99469.2</v>
      </c>
    </row>
    <row r="132" spans="1:8" ht="31.5">
      <c r="A132" s="40" t="s">
        <v>261</v>
      </c>
      <c r="B132" s="42" t="s">
        <v>270</v>
      </c>
      <c r="C132" s="42"/>
      <c r="D132" s="43">
        <f>D133</f>
        <v>1712.2</v>
      </c>
      <c r="E132" s="43">
        <f>E133</f>
        <v>0</v>
      </c>
      <c r="F132" s="43">
        <f>F133</f>
        <v>1712.2</v>
      </c>
      <c r="G132" s="43">
        <f>G133</f>
        <v>1712.2</v>
      </c>
      <c r="H132" s="43">
        <f>H133</f>
        <v>1712.2</v>
      </c>
    </row>
    <row r="133" spans="1:8" ht="31.5">
      <c r="A133" s="40" t="s">
        <v>10</v>
      </c>
      <c r="B133" s="42" t="s">
        <v>270</v>
      </c>
      <c r="C133" s="42" t="s">
        <v>11</v>
      </c>
      <c r="D133" s="43">
        <f>'2020-2022 год Приложение  4'!E397</f>
        <v>1712.2</v>
      </c>
      <c r="E133" s="43">
        <f>'2020-2022 год Приложение  4'!F397</f>
        <v>0</v>
      </c>
      <c r="F133" s="43">
        <f>'2020-2022 год Приложение  4'!G397</f>
        <v>1712.2</v>
      </c>
      <c r="G133" s="43">
        <f>'2020-2022 год Приложение  4'!H397</f>
        <v>1712.2</v>
      </c>
      <c r="H133" s="43">
        <f>'2020-2022 год Приложение  4'!I397</f>
        <v>1712.2</v>
      </c>
    </row>
    <row r="134" spans="1:8" ht="47.25">
      <c r="A134" s="40" t="s">
        <v>63</v>
      </c>
      <c r="B134" s="42" t="s">
        <v>115</v>
      </c>
      <c r="C134" s="42"/>
      <c r="D134" s="43">
        <f>D135</f>
        <v>484515.7</v>
      </c>
      <c r="E134" s="43">
        <f>E135</f>
        <v>14360</v>
      </c>
      <c r="F134" s="43">
        <f>F135</f>
        <v>498875.7</v>
      </c>
      <c r="G134" s="43">
        <f>G135</f>
        <v>521918.4</v>
      </c>
      <c r="H134" s="43">
        <f>H135</f>
        <v>543417.2</v>
      </c>
    </row>
    <row r="135" spans="1:8" ht="31.5">
      <c r="A135" s="40" t="s">
        <v>10</v>
      </c>
      <c r="B135" s="42" t="s">
        <v>115</v>
      </c>
      <c r="C135" s="42" t="s">
        <v>11</v>
      </c>
      <c r="D135" s="43">
        <f>'2020-2022 год Приложение  4'!E399</f>
        <v>484515.7</v>
      </c>
      <c r="E135" s="43">
        <f>'2020-2022 год Приложение  4'!F399</f>
        <v>14360</v>
      </c>
      <c r="F135" s="43">
        <f>'2020-2022 год Приложение  4'!G399</f>
        <v>498875.7</v>
      </c>
      <c r="G135" s="43">
        <f>'2020-2022 год Приложение  4'!H399</f>
        <v>521918.4</v>
      </c>
      <c r="H135" s="43">
        <f>'2020-2022 год Приложение  4'!I399</f>
        <v>543417.2</v>
      </c>
    </row>
    <row r="136" spans="1:8" ht="31.5">
      <c r="A136" s="40" t="s">
        <v>28</v>
      </c>
      <c r="B136" s="42" t="s">
        <v>121</v>
      </c>
      <c r="C136" s="42"/>
      <c r="D136" s="43">
        <f>D138+D137</f>
        <v>8494.7</v>
      </c>
      <c r="E136" s="43">
        <f>E138+E137</f>
        <v>-372.4000000000001</v>
      </c>
      <c r="F136" s="43">
        <f>F138+F137</f>
        <v>8122.3</v>
      </c>
      <c r="G136" s="43">
        <f>G138+G137</f>
        <v>0</v>
      </c>
      <c r="H136" s="43">
        <f>H138+H137</f>
        <v>0</v>
      </c>
    </row>
    <row r="137" spans="1:8" ht="31.5">
      <c r="A137" s="40" t="s">
        <v>383</v>
      </c>
      <c r="B137" s="42" t="s">
        <v>121</v>
      </c>
      <c r="C137" s="42" t="s">
        <v>24</v>
      </c>
      <c r="D137" s="43">
        <f>'2020-2022 год Приложение  4'!E401</f>
        <v>4546.7</v>
      </c>
      <c r="E137" s="43">
        <f>'2020-2022 год Приложение  4'!F401</f>
        <v>-974.7</v>
      </c>
      <c r="F137" s="43">
        <f>'2020-2022 год Приложение  4'!G401</f>
        <v>3572</v>
      </c>
      <c r="G137" s="43">
        <f>'2020-2022 год Приложение  4'!H401</f>
        <v>0</v>
      </c>
      <c r="H137" s="43">
        <f>'2020-2022 год Приложение  4'!I401</f>
        <v>0</v>
      </c>
    </row>
    <row r="138" spans="1:8" ht="31.5">
      <c r="A138" s="40" t="s">
        <v>10</v>
      </c>
      <c r="B138" s="42" t="s">
        <v>121</v>
      </c>
      <c r="C138" s="42" t="s">
        <v>11</v>
      </c>
      <c r="D138" s="43">
        <f>'2020-2022 год Приложение  4'!E402</f>
        <v>3948</v>
      </c>
      <c r="E138" s="43">
        <f>'2020-2022 год Приложение  4'!F402</f>
        <v>602.3</v>
      </c>
      <c r="F138" s="43">
        <f>'2020-2022 год Приложение  4'!G402</f>
        <v>4550.3</v>
      </c>
      <c r="G138" s="43">
        <f>'2020-2022 год Приложение  4'!H402</f>
        <v>0</v>
      </c>
      <c r="H138" s="43">
        <f>'2020-2022 год Приложение  4'!I402</f>
        <v>0</v>
      </c>
    </row>
    <row r="139" spans="1:8" ht="31.5">
      <c r="A139" s="40" t="s">
        <v>416</v>
      </c>
      <c r="B139" s="42" t="s">
        <v>419</v>
      </c>
      <c r="C139" s="42"/>
      <c r="D139" s="43">
        <f>D140</f>
        <v>10375.2</v>
      </c>
      <c r="E139" s="43">
        <f>E140</f>
        <v>0</v>
      </c>
      <c r="F139" s="43">
        <f>F140</f>
        <v>10375.2</v>
      </c>
      <c r="G139" s="43">
        <f>G140</f>
        <v>0</v>
      </c>
      <c r="H139" s="43">
        <f>H140</f>
        <v>0</v>
      </c>
    </row>
    <row r="140" spans="1:8" ht="31.5">
      <c r="A140" s="40" t="s">
        <v>10</v>
      </c>
      <c r="B140" s="42" t="s">
        <v>419</v>
      </c>
      <c r="C140" s="42" t="s">
        <v>11</v>
      </c>
      <c r="D140" s="43">
        <f>'2020-2022 год Приложение  4'!E404</f>
        <v>10375.2</v>
      </c>
      <c r="E140" s="43">
        <f>'2020-2022 год Приложение  4'!F404</f>
        <v>0</v>
      </c>
      <c r="F140" s="43">
        <f>'2020-2022 год Приложение  4'!G404</f>
        <v>10375.2</v>
      </c>
      <c r="G140" s="43">
        <f>'2020-2022 год Приложение  4'!H404</f>
        <v>0</v>
      </c>
      <c r="H140" s="43">
        <f>'2020-2022 год Приложение  4'!I404</f>
        <v>0</v>
      </c>
    </row>
    <row r="141" spans="1:8" ht="31.5">
      <c r="A141" s="40" t="s">
        <v>202</v>
      </c>
      <c r="B141" s="42" t="s">
        <v>206</v>
      </c>
      <c r="C141" s="42"/>
      <c r="D141" s="43">
        <f>D142</f>
        <v>582</v>
      </c>
      <c r="E141" s="43">
        <f>E142</f>
        <v>0</v>
      </c>
      <c r="F141" s="43">
        <f>F142</f>
        <v>582</v>
      </c>
      <c r="G141" s="43">
        <f>G142</f>
        <v>0</v>
      </c>
      <c r="H141" s="43">
        <f>H142</f>
        <v>0</v>
      </c>
    </row>
    <row r="142" spans="1:8" ht="31.5">
      <c r="A142" s="40" t="s">
        <v>10</v>
      </c>
      <c r="B142" s="42" t="s">
        <v>206</v>
      </c>
      <c r="C142" s="42" t="s">
        <v>11</v>
      </c>
      <c r="D142" s="43">
        <f>'2020-2022 год Приложение  4'!E406</f>
        <v>582</v>
      </c>
      <c r="E142" s="43">
        <f>'2020-2022 год Приложение  4'!F406</f>
        <v>0</v>
      </c>
      <c r="F142" s="43">
        <f>'2020-2022 год Приложение  4'!G406</f>
        <v>582</v>
      </c>
      <c r="G142" s="43">
        <f>'2020-2022 год Приложение  4'!H406</f>
        <v>0</v>
      </c>
      <c r="H142" s="43">
        <f>'2020-2022 год Приложение  4'!I406</f>
        <v>0</v>
      </c>
    </row>
    <row r="143" spans="1:8" ht="47.25">
      <c r="A143" s="40" t="s">
        <v>91</v>
      </c>
      <c r="B143" s="27" t="s">
        <v>361</v>
      </c>
      <c r="C143" s="42"/>
      <c r="D143" s="37">
        <f>D144</f>
        <v>27780.2</v>
      </c>
      <c r="E143" s="37">
        <f>E144</f>
        <v>-20977.2</v>
      </c>
      <c r="F143" s="37">
        <f>F144</f>
        <v>6803</v>
      </c>
      <c r="G143" s="37">
        <f>G144</f>
        <v>28891.300000000003</v>
      </c>
      <c r="H143" s="37">
        <f>H144</f>
        <v>30047</v>
      </c>
    </row>
    <row r="144" spans="1:8" ht="31.5">
      <c r="A144" s="40" t="s">
        <v>10</v>
      </c>
      <c r="B144" s="27" t="s">
        <v>361</v>
      </c>
      <c r="C144" s="42" t="s">
        <v>11</v>
      </c>
      <c r="D144" s="37">
        <f>'2020-2022 год Приложение  4'!E408</f>
        <v>27780.2</v>
      </c>
      <c r="E144" s="37">
        <f>'2020-2022 год Приложение  4'!F408</f>
        <v>-20977.2</v>
      </c>
      <c r="F144" s="37">
        <f>'2020-2022 год Приложение  4'!G408</f>
        <v>6803</v>
      </c>
      <c r="G144" s="37">
        <f>'2020-2022 год Приложение  4'!H408</f>
        <v>28891.300000000003</v>
      </c>
      <c r="H144" s="37">
        <f>'2020-2022 год Приложение  4'!I408</f>
        <v>30047</v>
      </c>
    </row>
    <row r="145" spans="1:8" ht="47.25">
      <c r="A145" s="40" t="s">
        <v>81</v>
      </c>
      <c r="B145" s="42" t="s">
        <v>362</v>
      </c>
      <c r="C145" s="42"/>
      <c r="D145" s="43">
        <f>D146</f>
        <v>18.7</v>
      </c>
      <c r="E145" s="43">
        <f>E146</f>
        <v>-17.099999999999998</v>
      </c>
      <c r="F145" s="43">
        <f>F146</f>
        <v>1.6000000000000014</v>
      </c>
      <c r="G145" s="43">
        <f>G146</f>
        <v>18.7</v>
      </c>
      <c r="H145" s="43">
        <f>H146</f>
        <v>18.7</v>
      </c>
    </row>
    <row r="146" spans="1:8" ht="15.75">
      <c r="A146" s="40" t="s">
        <v>27</v>
      </c>
      <c r="B146" s="42" t="s">
        <v>362</v>
      </c>
      <c r="C146" s="42" t="s">
        <v>16</v>
      </c>
      <c r="D146" s="43">
        <f>'2020-2022 год Приложение  4'!E410</f>
        <v>18.7</v>
      </c>
      <c r="E146" s="43">
        <f>'2020-2022 год Приложение  4'!F410</f>
        <v>-17.099999999999998</v>
      </c>
      <c r="F146" s="43">
        <f>'2020-2022 год Приложение  4'!G410</f>
        <v>1.6000000000000014</v>
      </c>
      <c r="G146" s="43">
        <f>'2020-2022 год Приложение  4'!H410</f>
        <v>18.7</v>
      </c>
      <c r="H146" s="43">
        <f>'2020-2022 год Приложение  4'!I410</f>
        <v>18.7</v>
      </c>
    </row>
    <row r="147" spans="1:8" ht="94.5">
      <c r="A147" s="54" t="s">
        <v>194</v>
      </c>
      <c r="B147" s="42" t="s">
        <v>363</v>
      </c>
      <c r="C147" s="42"/>
      <c r="D147" s="43">
        <f>D148</f>
        <v>3942</v>
      </c>
      <c r="E147" s="43">
        <f>E148</f>
        <v>58</v>
      </c>
      <c r="F147" s="43">
        <f>F148</f>
        <v>4000</v>
      </c>
      <c r="G147" s="43">
        <f>G148</f>
        <v>4140</v>
      </c>
      <c r="H147" s="43">
        <f>H148</f>
        <v>4310</v>
      </c>
    </row>
    <row r="148" spans="1:8" ht="15.75">
      <c r="A148" s="40" t="s">
        <v>27</v>
      </c>
      <c r="B148" s="42" t="s">
        <v>363</v>
      </c>
      <c r="C148" s="42" t="s">
        <v>16</v>
      </c>
      <c r="D148" s="43">
        <f>'2020-2022 год Приложение  4'!E412</f>
        <v>3942</v>
      </c>
      <c r="E148" s="43">
        <f>'2020-2022 год Приложение  4'!F412</f>
        <v>58</v>
      </c>
      <c r="F148" s="43">
        <f>'2020-2022 год Приложение  4'!G412</f>
        <v>4000</v>
      </c>
      <c r="G148" s="43">
        <f>'2020-2022 год Приложение  4'!H412</f>
        <v>4140</v>
      </c>
      <c r="H148" s="43">
        <f>'2020-2022 год Приложение  4'!I412</f>
        <v>4310</v>
      </c>
    </row>
    <row r="149" spans="1:8" ht="78.75">
      <c r="A149" s="54" t="s">
        <v>452</v>
      </c>
      <c r="B149" s="42" t="s">
        <v>453</v>
      </c>
      <c r="C149" s="42"/>
      <c r="D149" s="43">
        <f>D150</f>
        <v>8835.4</v>
      </c>
      <c r="E149" s="43">
        <f>E150</f>
        <v>0</v>
      </c>
      <c r="F149" s="43">
        <f>F150</f>
        <v>8835.4</v>
      </c>
      <c r="G149" s="43">
        <f>G150</f>
        <v>0</v>
      </c>
      <c r="H149" s="43">
        <f>H150</f>
        <v>0</v>
      </c>
    </row>
    <row r="150" spans="1:8" ht="31.5">
      <c r="A150" s="54" t="s">
        <v>10</v>
      </c>
      <c r="B150" s="42" t="s">
        <v>453</v>
      </c>
      <c r="C150" s="42" t="s">
        <v>11</v>
      </c>
      <c r="D150" s="43">
        <f>'2020-2022 год Приложение  4'!E414</f>
        <v>8835.4</v>
      </c>
      <c r="E150" s="43">
        <f>'2020-2022 год Приложение  4'!F414</f>
        <v>0</v>
      </c>
      <c r="F150" s="43">
        <f>'2020-2022 год Приложение  4'!G414</f>
        <v>8835.4</v>
      </c>
      <c r="G150" s="43">
        <f>'2020-2022 год Приложение  4'!H414</f>
        <v>0</v>
      </c>
      <c r="H150" s="43">
        <f>'2020-2022 год Приложение  4'!I414</f>
        <v>0</v>
      </c>
    </row>
    <row r="151" spans="1:8" ht="47.25">
      <c r="A151" s="45" t="s">
        <v>465</v>
      </c>
      <c r="B151" s="42" t="s">
        <v>464</v>
      </c>
      <c r="C151" s="42"/>
      <c r="D151" s="43">
        <f>D152</f>
        <v>0</v>
      </c>
      <c r="E151" s="43">
        <f>E152</f>
        <v>11953.4</v>
      </c>
      <c r="F151" s="43">
        <f>F152</f>
        <v>11953.4</v>
      </c>
      <c r="G151" s="43">
        <f>G152</f>
        <v>0</v>
      </c>
      <c r="H151" s="43">
        <f>H152</f>
        <v>0</v>
      </c>
    </row>
    <row r="152" spans="1:8" ht="31.5">
      <c r="A152" s="54" t="s">
        <v>10</v>
      </c>
      <c r="B152" s="42" t="s">
        <v>464</v>
      </c>
      <c r="C152" s="42" t="s">
        <v>11</v>
      </c>
      <c r="D152" s="43"/>
      <c r="E152" s="43">
        <v>11953.4</v>
      </c>
      <c r="F152" s="43">
        <f>D152+E152</f>
        <v>11953.4</v>
      </c>
      <c r="G152" s="43">
        <v>0</v>
      </c>
      <c r="H152" s="43">
        <v>0</v>
      </c>
    </row>
    <row r="153" spans="1:8" ht="31.5">
      <c r="A153" s="40" t="s">
        <v>416</v>
      </c>
      <c r="B153" s="42" t="s">
        <v>415</v>
      </c>
      <c r="C153" s="42"/>
      <c r="D153" s="43">
        <f>D154</f>
        <v>1821.8</v>
      </c>
      <c r="E153" s="43">
        <f>E154</f>
        <v>0</v>
      </c>
      <c r="F153" s="43">
        <f>F154</f>
        <v>1821.8</v>
      </c>
      <c r="G153" s="43">
        <f>G154</f>
        <v>0</v>
      </c>
      <c r="H153" s="43">
        <f>H154</f>
        <v>0</v>
      </c>
    </row>
    <row r="154" spans="1:8" ht="31.5">
      <c r="A154" s="40" t="s">
        <v>10</v>
      </c>
      <c r="B154" s="42" t="s">
        <v>415</v>
      </c>
      <c r="C154" s="42" t="s">
        <v>11</v>
      </c>
      <c r="D154" s="43">
        <f>'2020-2022 год Приложение  4'!E418</f>
        <v>1821.8</v>
      </c>
      <c r="E154" s="43">
        <f>'2020-2022 год Приложение  4'!F418</f>
        <v>0</v>
      </c>
      <c r="F154" s="43">
        <f>'2020-2022 год Приложение  4'!G418</f>
        <v>1821.8</v>
      </c>
      <c r="G154" s="43">
        <f>'2020-2022 год Приложение  4'!H418</f>
        <v>0</v>
      </c>
      <c r="H154" s="43">
        <f>'2020-2022 год Приложение  4'!I418</f>
        <v>0</v>
      </c>
    </row>
    <row r="155" spans="1:8" ht="15.75">
      <c r="A155" s="10" t="s">
        <v>303</v>
      </c>
      <c r="B155" s="11" t="s">
        <v>116</v>
      </c>
      <c r="C155" s="11" t="s">
        <v>0</v>
      </c>
      <c r="D155" s="12">
        <f>D156+D162+D175+D178+D165+D169+D158+D167+D173+D171+D160</f>
        <v>46197.200000000004</v>
      </c>
      <c r="E155" s="12">
        <f>E156+E162+E175+E178+E165+E169+E158+E167+E173+E171+E160</f>
        <v>543.1000000000001</v>
      </c>
      <c r="F155" s="12">
        <f>F156+F162+F175+F178+F165+F169+F158+F167+F173+F171+F160</f>
        <v>46740.299999999996</v>
      </c>
      <c r="G155" s="12">
        <f>G156+G162+G175+G178+G165+G169+G158+G167+G173+G171+G160</f>
        <v>45204.8</v>
      </c>
      <c r="H155" s="12">
        <f>H156+H162+H175+H178+H165+H169+H158+H167+H173+H171+H160</f>
        <v>46271.899999999994</v>
      </c>
    </row>
    <row r="156" spans="1:8" ht="15.75">
      <c r="A156" s="40" t="s">
        <v>25</v>
      </c>
      <c r="B156" s="42" t="s">
        <v>117</v>
      </c>
      <c r="C156" s="42"/>
      <c r="D156" s="43">
        <f>D157</f>
        <v>31639.8</v>
      </c>
      <c r="E156" s="43">
        <f>E157</f>
        <v>-1295.1</v>
      </c>
      <c r="F156" s="43">
        <f>F157</f>
        <v>30344.7</v>
      </c>
      <c r="G156" s="43">
        <f>G157</f>
        <v>30902.7</v>
      </c>
      <c r="H156" s="43">
        <f>H157</f>
        <v>31061.5</v>
      </c>
    </row>
    <row r="157" spans="1:8" ht="31.5">
      <c r="A157" s="40" t="s">
        <v>10</v>
      </c>
      <c r="B157" s="42" t="s">
        <v>117</v>
      </c>
      <c r="C157" s="42" t="s">
        <v>11</v>
      </c>
      <c r="D157" s="43">
        <f>'2020-2022 год Приложение  4'!E421</f>
        <v>31639.8</v>
      </c>
      <c r="E157" s="43">
        <f>'2020-2022 год Приложение  4'!F421</f>
        <v>-1295.1</v>
      </c>
      <c r="F157" s="43">
        <f>'2020-2022 год Приложение  4'!G421</f>
        <v>30344.7</v>
      </c>
      <c r="G157" s="43">
        <f>'2020-2022 год Приложение  4'!H421</f>
        <v>30902.7</v>
      </c>
      <c r="H157" s="43">
        <f>'2020-2022 год Приложение  4'!I421</f>
        <v>31061.5</v>
      </c>
    </row>
    <row r="158" spans="1:8" ht="31.5">
      <c r="A158" s="40" t="s">
        <v>261</v>
      </c>
      <c r="B158" s="42" t="s">
        <v>271</v>
      </c>
      <c r="C158" s="42"/>
      <c r="D158" s="43">
        <f>D159</f>
        <v>456.5</v>
      </c>
      <c r="E158" s="43">
        <f>E159</f>
        <v>0</v>
      </c>
      <c r="F158" s="43">
        <f>F159</f>
        <v>456.5</v>
      </c>
      <c r="G158" s="43">
        <f>G159</f>
        <v>456.5</v>
      </c>
      <c r="H158" s="43">
        <f>H159</f>
        <v>456.5</v>
      </c>
    </row>
    <row r="159" spans="1:8" ht="31.5">
      <c r="A159" s="40" t="s">
        <v>10</v>
      </c>
      <c r="B159" s="42" t="s">
        <v>271</v>
      </c>
      <c r="C159" s="42" t="s">
        <v>11</v>
      </c>
      <c r="D159" s="43">
        <f>'2020-2022 год Приложение  4'!E423</f>
        <v>456.5</v>
      </c>
      <c r="E159" s="43">
        <f>'2020-2022 год Приложение  4'!F423</f>
        <v>0</v>
      </c>
      <c r="F159" s="43">
        <f>'2020-2022 год Приложение  4'!G423</f>
        <v>456.5</v>
      </c>
      <c r="G159" s="43">
        <f>'2020-2022 год Приложение  4'!H423</f>
        <v>456.5</v>
      </c>
      <c r="H159" s="43">
        <f>'2020-2022 год Приложение  4'!I423</f>
        <v>456.5</v>
      </c>
    </row>
    <row r="160" spans="1:8" ht="31.5">
      <c r="A160" s="45" t="s">
        <v>470</v>
      </c>
      <c r="B160" s="42" t="s">
        <v>469</v>
      </c>
      <c r="C160" s="42"/>
      <c r="D160" s="43">
        <f>D161</f>
        <v>0</v>
      </c>
      <c r="E160" s="43">
        <f>E161</f>
        <v>101.7</v>
      </c>
      <c r="F160" s="43">
        <f>F161</f>
        <v>101.7</v>
      </c>
      <c r="G160" s="43">
        <f>G161</f>
        <v>0</v>
      </c>
      <c r="H160" s="43">
        <f>H161</f>
        <v>0</v>
      </c>
    </row>
    <row r="161" spans="1:8" ht="31.5">
      <c r="A161" s="45" t="s">
        <v>10</v>
      </c>
      <c r="B161" s="42" t="s">
        <v>469</v>
      </c>
      <c r="C161" s="42" t="s">
        <v>11</v>
      </c>
      <c r="D161" s="43">
        <f>'2020-2022 год Приложение  4'!E425</f>
        <v>0</v>
      </c>
      <c r="E161" s="43">
        <f>'2020-2022 год Приложение  4'!F425</f>
        <v>101.7</v>
      </c>
      <c r="F161" s="43">
        <f>'2020-2022 год Приложение  4'!G425</f>
        <v>101.7</v>
      </c>
      <c r="G161" s="43">
        <f>'2020-2022 год Приложение  4'!H425</f>
        <v>0</v>
      </c>
      <c r="H161" s="43">
        <f>'2020-2022 год Приложение  4'!I425</f>
        <v>0</v>
      </c>
    </row>
    <row r="162" spans="1:8" ht="15.75">
      <c r="A162" s="40" t="s">
        <v>69</v>
      </c>
      <c r="B162" s="42" t="s">
        <v>367</v>
      </c>
      <c r="C162" s="42"/>
      <c r="D162" s="43">
        <f>D163+D164</f>
        <v>500</v>
      </c>
      <c r="E162" s="43">
        <f>E163+E164</f>
        <v>-200</v>
      </c>
      <c r="F162" s="43">
        <f>F163+F164</f>
        <v>300</v>
      </c>
      <c r="G162" s="43">
        <f>G163+G164</f>
        <v>500</v>
      </c>
      <c r="H162" s="43">
        <f>H163+H164</f>
        <v>500</v>
      </c>
    </row>
    <row r="163" spans="1:8" ht="47.25">
      <c r="A163" s="45" t="s">
        <v>449</v>
      </c>
      <c r="B163" s="42" t="s">
        <v>367</v>
      </c>
      <c r="C163" s="42" t="s">
        <v>8</v>
      </c>
      <c r="D163" s="43">
        <f>'2020-2022 год Приложение  4'!E113</f>
        <v>300</v>
      </c>
      <c r="E163" s="43">
        <f>'2020-2022 год Приложение  4'!F113</f>
        <v>-200</v>
      </c>
      <c r="F163" s="43">
        <f>'2020-2022 год Приложение  4'!G113</f>
        <v>100</v>
      </c>
      <c r="G163" s="43">
        <f>'2020-2022 год Приложение  4'!H113</f>
        <v>300</v>
      </c>
      <c r="H163" s="43">
        <f>'2020-2022 год Приложение  4'!I113</f>
        <v>300</v>
      </c>
    </row>
    <row r="164" spans="1:8" ht="15.75">
      <c r="A164" s="85" t="s">
        <v>27</v>
      </c>
      <c r="B164" s="42" t="s">
        <v>367</v>
      </c>
      <c r="C164" s="42" t="s">
        <v>16</v>
      </c>
      <c r="D164" s="43">
        <f>'2020-2022 год Приложение  4'!E114</f>
        <v>200</v>
      </c>
      <c r="E164" s="43">
        <f>'2020-2022 год Приложение  4'!F114</f>
        <v>0</v>
      </c>
      <c r="F164" s="43">
        <f>'2020-2022 год Приложение  4'!G114</f>
        <v>200</v>
      </c>
      <c r="G164" s="43">
        <f>'2020-2022 год Приложение  4'!H114</f>
        <v>200</v>
      </c>
      <c r="H164" s="43">
        <f>'2020-2022 год Приложение  4'!I114</f>
        <v>200</v>
      </c>
    </row>
    <row r="165" spans="1:8" ht="94.5">
      <c r="A165" s="54" t="s">
        <v>194</v>
      </c>
      <c r="B165" s="42" t="s">
        <v>368</v>
      </c>
      <c r="C165" s="42"/>
      <c r="D165" s="43">
        <f>D166</f>
        <v>109</v>
      </c>
      <c r="E165" s="43">
        <f>E166</f>
        <v>0</v>
      </c>
      <c r="F165" s="43">
        <f>F166</f>
        <v>109</v>
      </c>
      <c r="G165" s="43">
        <f>G166</f>
        <v>114</v>
      </c>
      <c r="H165" s="43">
        <f>H166</f>
        <v>120</v>
      </c>
    </row>
    <row r="166" spans="1:8" ht="24.75" customHeight="1">
      <c r="A166" s="40" t="s">
        <v>27</v>
      </c>
      <c r="B166" s="42" t="s">
        <v>368</v>
      </c>
      <c r="C166" s="42" t="s">
        <v>16</v>
      </c>
      <c r="D166" s="43">
        <f>'2020-2022 год Приложение  4'!E427</f>
        <v>109</v>
      </c>
      <c r="E166" s="43">
        <f>'2020-2022 год Приложение  4'!F427</f>
        <v>0</v>
      </c>
      <c r="F166" s="43">
        <f>'2020-2022 год Приложение  4'!G427</f>
        <v>109</v>
      </c>
      <c r="G166" s="43">
        <f>'2020-2022 год Приложение  4'!H427</f>
        <v>114</v>
      </c>
      <c r="H166" s="43">
        <f>'2020-2022 год Приложение  4'!I427</f>
        <v>120</v>
      </c>
    </row>
    <row r="167" spans="1:8" ht="47.25">
      <c r="A167" s="40" t="s">
        <v>274</v>
      </c>
      <c r="B167" s="42" t="s">
        <v>369</v>
      </c>
      <c r="C167" s="42"/>
      <c r="D167" s="43">
        <f>D168</f>
        <v>8650.7</v>
      </c>
      <c r="E167" s="43">
        <f>E168</f>
        <v>0</v>
      </c>
      <c r="F167" s="43">
        <f>F168</f>
        <v>8650.7</v>
      </c>
      <c r="G167" s="43">
        <f>G168</f>
        <v>9431</v>
      </c>
      <c r="H167" s="43">
        <f>H168</f>
        <v>10333.3</v>
      </c>
    </row>
    <row r="168" spans="1:8" ht="31.5">
      <c r="A168" s="40" t="s">
        <v>10</v>
      </c>
      <c r="B168" s="42" t="s">
        <v>369</v>
      </c>
      <c r="C168" s="42" t="s">
        <v>11</v>
      </c>
      <c r="D168" s="43">
        <f>'2020-2022 год Приложение  4'!E429</f>
        <v>8650.7</v>
      </c>
      <c r="E168" s="43">
        <f>'2020-2022 год Приложение  4'!F429</f>
        <v>0</v>
      </c>
      <c r="F168" s="43">
        <f>'2020-2022 год Приложение  4'!G429</f>
        <v>8650.7</v>
      </c>
      <c r="G168" s="43">
        <f>'2020-2022 год Приложение  4'!H429</f>
        <v>9431</v>
      </c>
      <c r="H168" s="43">
        <f>'2020-2022 год Приложение  4'!I429</f>
        <v>10333.3</v>
      </c>
    </row>
    <row r="169" spans="1:8" ht="31.5">
      <c r="A169" s="40" t="s">
        <v>227</v>
      </c>
      <c r="B169" s="42" t="s">
        <v>122</v>
      </c>
      <c r="C169" s="42"/>
      <c r="D169" s="43">
        <f>D170</f>
        <v>3500.6</v>
      </c>
      <c r="E169" s="43">
        <f>E170</f>
        <v>1936.5</v>
      </c>
      <c r="F169" s="43">
        <f>F170</f>
        <v>5437.1</v>
      </c>
      <c r="G169" s="43">
        <f>G170</f>
        <v>3500.6</v>
      </c>
      <c r="H169" s="43">
        <f>H170</f>
        <v>3500.6</v>
      </c>
    </row>
    <row r="170" spans="1:8" ht="31.5">
      <c r="A170" s="40" t="s">
        <v>10</v>
      </c>
      <c r="B170" s="42" t="s">
        <v>122</v>
      </c>
      <c r="C170" s="42" t="s">
        <v>11</v>
      </c>
      <c r="D170" s="43">
        <f>'2020-2022 год Приложение  4'!E431</f>
        <v>3500.6</v>
      </c>
      <c r="E170" s="43">
        <f>'2020-2022 год Приложение  4'!F431</f>
        <v>1936.5</v>
      </c>
      <c r="F170" s="43">
        <f>'2020-2022 год Приложение  4'!G431</f>
        <v>5437.1</v>
      </c>
      <c r="G170" s="43">
        <f>'2020-2022 год Приложение  4'!H431</f>
        <v>3500.6</v>
      </c>
      <c r="H170" s="43">
        <f>'2020-2022 год Приложение  4'!I431</f>
        <v>3500.6</v>
      </c>
    </row>
    <row r="171" spans="1:8" ht="31.5">
      <c r="A171" s="40" t="s">
        <v>416</v>
      </c>
      <c r="B171" s="42" t="s">
        <v>417</v>
      </c>
      <c r="C171" s="42"/>
      <c r="D171" s="43">
        <f>D172</f>
        <v>1040.6</v>
      </c>
      <c r="E171" s="43">
        <f>E172</f>
        <v>0</v>
      </c>
      <c r="F171" s="43">
        <f>F172</f>
        <v>1040.6</v>
      </c>
      <c r="G171" s="43">
        <f>G172</f>
        <v>0</v>
      </c>
      <c r="H171" s="43">
        <f>H172</f>
        <v>0</v>
      </c>
    </row>
    <row r="172" spans="1:8" ht="31.5">
      <c r="A172" s="40" t="s">
        <v>10</v>
      </c>
      <c r="B172" s="42" t="s">
        <v>417</v>
      </c>
      <c r="C172" s="42" t="s">
        <v>11</v>
      </c>
      <c r="D172" s="43">
        <f>'2020-2022 год Приложение  4'!E433</f>
        <v>1040.6</v>
      </c>
      <c r="E172" s="43">
        <f>'2020-2022 год Приложение  4'!F433</f>
        <v>0</v>
      </c>
      <c r="F172" s="43">
        <f>'2020-2022 год Приложение  4'!G433</f>
        <v>1040.6</v>
      </c>
      <c r="G172" s="43">
        <f>'2020-2022 год Приложение  4'!H433</f>
        <v>0</v>
      </c>
      <c r="H172" s="43">
        <f>'2020-2022 год Приложение  4'!I433</f>
        <v>0</v>
      </c>
    </row>
    <row r="173" spans="1:8" ht="31.5">
      <c r="A173" s="41" t="s">
        <v>370</v>
      </c>
      <c r="B173" s="27" t="s">
        <v>371</v>
      </c>
      <c r="C173" s="27"/>
      <c r="D173" s="43">
        <f>D174</f>
        <v>50</v>
      </c>
      <c r="E173" s="43">
        <f>E174</f>
        <v>0</v>
      </c>
      <c r="F173" s="43">
        <f>F174</f>
        <v>50</v>
      </c>
      <c r="G173" s="43">
        <f>G174</f>
        <v>50</v>
      </c>
      <c r="H173" s="43">
        <f>H174</f>
        <v>50</v>
      </c>
    </row>
    <row r="174" spans="1:8" ht="47.25">
      <c r="A174" s="45" t="s">
        <v>449</v>
      </c>
      <c r="B174" s="27" t="s">
        <v>371</v>
      </c>
      <c r="C174" s="27" t="s">
        <v>8</v>
      </c>
      <c r="D174" s="43">
        <f>'2020-2022 год Приложение  4'!E116</f>
        <v>50</v>
      </c>
      <c r="E174" s="43">
        <f>'2020-2022 год Приложение  4'!F116</f>
        <v>0</v>
      </c>
      <c r="F174" s="43">
        <f>'2020-2022 год Приложение  4'!G116</f>
        <v>50</v>
      </c>
      <c r="G174" s="43">
        <f>'2020-2022 год Приложение  4'!H116</f>
        <v>50</v>
      </c>
      <c r="H174" s="43">
        <f>'2020-2022 год Приложение  4'!I116</f>
        <v>50</v>
      </c>
    </row>
    <row r="175" spans="1:8" ht="15.75">
      <c r="A175" s="40" t="s">
        <v>92</v>
      </c>
      <c r="B175" s="42" t="s">
        <v>123</v>
      </c>
      <c r="C175" s="42"/>
      <c r="D175" s="43">
        <f>'2020-2022 год Приложение  4'!E117</f>
        <v>150</v>
      </c>
      <c r="E175" s="43">
        <f>'2020-2022 год Приложение  4'!F117</f>
        <v>0</v>
      </c>
      <c r="F175" s="43">
        <f>'2020-2022 год Приложение  4'!G117</f>
        <v>150</v>
      </c>
      <c r="G175" s="43">
        <f>'2020-2022 год Приложение  4'!H117</f>
        <v>150</v>
      </c>
      <c r="H175" s="43">
        <f>'2020-2022 год Приложение  4'!I117</f>
        <v>150</v>
      </c>
    </row>
    <row r="176" spans="1:8" ht="63">
      <c r="A176" s="153" t="s">
        <v>14</v>
      </c>
      <c r="B176" s="42" t="s">
        <v>123</v>
      </c>
      <c r="C176" s="42" t="s">
        <v>15</v>
      </c>
      <c r="D176" s="43">
        <f>'2020-2022 год Приложение  4'!E118</f>
        <v>15</v>
      </c>
      <c r="E176" s="43">
        <f>'2020-2022 год Приложение  4'!F118</f>
        <v>0</v>
      </c>
      <c r="F176" s="43">
        <f>'2020-2022 год Приложение  4'!G118</f>
        <v>15</v>
      </c>
      <c r="G176" s="43">
        <f>'2020-2022 год Приложение  4'!H118</f>
        <v>15</v>
      </c>
      <c r="H176" s="43">
        <f>'2020-2022 год Приложение  4'!I118</f>
        <v>15</v>
      </c>
    </row>
    <row r="177" spans="1:8" ht="47.25">
      <c r="A177" s="45" t="s">
        <v>449</v>
      </c>
      <c r="B177" s="42" t="s">
        <v>123</v>
      </c>
      <c r="C177" s="42" t="s">
        <v>8</v>
      </c>
      <c r="D177" s="43">
        <f>'2020-2022 год Приложение  4'!E119</f>
        <v>135</v>
      </c>
      <c r="E177" s="43">
        <f>'2020-2022 год Приложение  4'!F119</f>
        <v>0</v>
      </c>
      <c r="F177" s="43">
        <f>'2020-2022 год Приложение  4'!G119</f>
        <v>135</v>
      </c>
      <c r="G177" s="43">
        <f>'2020-2022 год Приложение  4'!H119</f>
        <v>135</v>
      </c>
      <c r="H177" s="43">
        <f>'2020-2022 год Приложение  4'!I119</f>
        <v>135</v>
      </c>
    </row>
    <row r="178" spans="1:8" ht="31.5">
      <c r="A178" s="40" t="s">
        <v>93</v>
      </c>
      <c r="B178" s="42" t="s">
        <v>124</v>
      </c>
      <c r="C178" s="42"/>
      <c r="D178" s="43">
        <f>'2020-2022 год Приложение  4'!E120</f>
        <v>100</v>
      </c>
      <c r="E178" s="43">
        <f>'2020-2022 год Приложение  4'!F120</f>
        <v>0</v>
      </c>
      <c r="F178" s="43">
        <f>'2020-2022 год Приложение  4'!G120</f>
        <v>100</v>
      </c>
      <c r="G178" s="43">
        <f>'2020-2022 год Приложение  4'!H120</f>
        <v>100</v>
      </c>
      <c r="H178" s="43">
        <f>'2020-2022 год Приложение  4'!I120</f>
        <v>100</v>
      </c>
    </row>
    <row r="179" spans="1:8" ht="63">
      <c r="A179" s="153" t="s">
        <v>14</v>
      </c>
      <c r="B179" s="42" t="s">
        <v>124</v>
      </c>
      <c r="C179" s="42" t="s">
        <v>15</v>
      </c>
      <c r="D179" s="43">
        <f>'2020-2022 год Приложение  4'!E121</f>
        <v>25</v>
      </c>
      <c r="E179" s="43">
        <f>'2020-2022 год Приложение  4'!F121</f>
        <v>0</v>
      </c>
      <c r="F179" s="43">
        <f>'2020-2022 год Приложение  4'!G121</f>
        <v>25</v>
      </c>
      <c r="G179" s="43">
        <f>'2020-2022 год Приложение  4'!H121</f>
        <v>25</v>
      </c>
      <c r="H179" s="43">
        <f>'2020-2022 год Приложение  4'!I121</f>
        <v>25</v>
      </c>
    </row>
    <row r="180" spans="1:8" ht="47.25">
      <c r="A180" s="45" t="s">
        <v>449</v>
      </c>
      <c r="B180" s="42" t="s">
        <v>124</v>
      </c>
      <c r="C180" s="42" t="s">
        <v>8</v>
      </c>
      <c r="D180" s="43">
        <f>'2020-2022 год Приложение  4'!E122</f>
        <v>75</v>
      </c>
      <c r="E180" s="43">
        <f>'2020-2022 год Приложение  4'!F122</f>
        <v>0</v>
      </c>
      <c r="F180" s="43">
        <f>'2020-2022 год Приложение  4'!G122</f>
        <v>75</v>
      </c>
      <c r="G180" s="43">
        <f>'2020-2022 год Приложение  4'!H122</f>
        <v>75</v>
      </c>
      <c r="H180" s="43">
        <f>'2020-2022 год Приложение  4'!I122</f>
        <v>75</v>
      </c>
    </row>
    <row r="181" spans="1:8" ht="31.5">
      <c r="A181" s="10" t="s">
        <v>304</v>
      </c>
      <c r="B181" s="11" t="s">
        <v>125</v>
      </c>
      <c r="C181" s="11" t="s">
        <v>0</v>
      </c>
      <c r="D181" s="12">
        <f>D186+D182</f>
        <v>5363.900000000001</v>
      </c>
      <c r="E181" s="12">
        <f>E186+E182</f>
        <v>-662.6</v>
      </c>
      <c r="F181" s="12">
        <f>F186+F182</f>
        <v>4701.3</v>
      </c>
      <c r="G181" s="12">
        <f>G186+G182</f>
        <v>5363.900000000001</v>
      </c>
      <c r="H181" s="12">
        <f>H186+H182</f>
        <v>5363.900000000001</v>
      </c>
    </row>
    <row r="182" spans="1:8" ht="15.75">
      <c r="A182" s="106" t="s">
        <v>264</v>
      </c>
      <c r="B182" s="107" t="s">
        <v>265</v>
      </c>
      <c r="C182" s="107"/>
      <c r="D182" s="108">
        <f>D184+D185+D183</f>
        <v>870.6000000000001</v>
      </c>
      <c r="E182" s="108">
        <f>E184+E185+E183</f>
        <v>-662.6</v>
      </c>
      <c r="F182" s="108">
        <f>F184+F185+F183</f>
        <v>208.00000000000006</v>
      </c>
      <c r="G182" s="108">
        <f>G184+G185+G183</f>
        <v>870.6000000000001</v>
      </c>
      <c r="H182" s="108">
        <f>H184+H185+H183</f>
        <v>870.6000000000001</v>
      </c>
    </row>
    <row r="183" spans="1:8" ht="63">
      <c r="A183" s="117" t="s">
        <v>14</v>
      </c>
      <c r="B183" s="118" t="s">
        <v>265</v>
      </c>
      <c r="C183" s="118" t="s">
        <v>15</v>
      </c>
      <c r="D183" s="108">
        <f>'2020-2022 год Приложение  4'!E436</f>
        <v>24.7</v>
      </c>
      <c r="E183" s="108">
        <f>'2020-2022 год Приложение  4'!F436</f>
        <v>-24.7</v>
      </c>
      <c r="F183" s="108">
        <f>'2020-2022 год Приложение  4'!G436</f>
        <v>0</v>
      </c>
      <c r="G183" s="108">
        <f>'2020-2022 год Приложение  4'!H436</f>
        <v>24.7</v>
      </c>
      <c r="H183" s="108">
        <f>'2020-2022 год Приложение  4'!I436</f>
        <v>24.7</v>
      </c>
    </row>
    <row r="184" spans="1:8" ht="31.5">
      <c r="A184" s="45" t="s">
        <v>454</v>
      </c>
      <c r="B184" s="42" t="s">
        <v>265</v>
      </c>
      <c r="C184" s="42" t="s">
        <v>8</v>
      </c>
      <c r="D184" s="108">
        <f>'2020-2022 год Приложение  4'!E437</f>
        <v>99.7</v>
      </c>
      <c r="E184" s="108">
        <f>'2020-2022 год Приложение  4'!F437</f>
        <v>-65</v>
      </c>
      <c r="F184" s="108">
        <f>'2020-2022 год Приложение  4'!G437</f>
        <v>34.7</v>
      </c>
      <c r="G184" s="108">
        <f>'2020-2022 год Приложение  4'!H437</f>
        <v>99.7</v>
      </c>
      <c r="H184" s="108">
        <f>'2020-2022 год Приложение  4'!I437</f>
        <v>99.7</v>
      </c>
    </row>
    <row r="185" spans="1:8" ht="31.5">
      <c r="A185" s="163" t="s">
        <v>10</v>
      </c>
      <c r="B185" s="42" t="s">
        <v>265</v>
      </c>
      <c r="C185" s="42" t="s">
        <v>11</v>
      </c>
      <c r="D185" s="108">
        <f>'2020-2022 год Приложение  4'!E438</f>
        <v>746.2</v>
      </c>
      <c r="E185" s="108">
        <f>'2020-2022 год Приложение  4'!F438</f>
        <v>-572.9</v>
      </c>
      <c r="F185" s="108">
        <f>'2020-2022 год Приложение  4'!G438</f>
        <v>173.30000000000007</v>
      </c>
      <c r="G185" s="108">
        <f>'2020-2022 год Приложение  4'!H438</f>
        <v>746.2</v>
      </c>
      <c r="H185" s="108">
        <f>'2020-2022 год Приложение  4'!I438</f>
        <v>746.2</v>
      </c>
    </row>
    <row r="186" spans="1:8" ht="31.5">
      <c r="A186" s="40" t="s">
        <v>185</v>
      </c>
      <c r="B186" s="42" t="s">
        <v>183</v>
      </c>
      <c r="C186" s="42"/>
      <c r="D186" s="43">
        <f>D189+D187+D188</f>
        <v>4493.3</v>
      </c>
      <c r="E186" s="43">
        <f>E189+E187+E188</f>
        <v>0</v>
      </c>
      <c r="F186" s="43">
        <f>F189+F187+F188</f>
        <v>4493.3</v>
      </c>
      <c r="G186" s="43">
        <f>G189+G187+G188</f>
        <v>4493.3</v>
      </c>
      <c r="H186" s="43">
        <f>H189+H187+H188</f>
        <v>4493.3</v>
      </c>
    </row>
    <row r="187" spans="1:8" ht="63">
      <c r="A187" s="40" t="s">
        <v>14</v>
      </c>
      <c r="B187" s="42" t="s">
        <v>183</v>
      </c>
      <c r="C187" s="42" t="s">
        <v>15</v>
      </c>
      <c r="D187" s="43">
        <f>'2020-2022 год Приложение  4'!E440</f>
        <v>91.3</v>
      </c>
      <c r="E187" s="43">
        <f>'2020-2022 год Приложение  4'!F440</f>
        <v>-91.3</v>
      </c>
      <c r="F187" s="43">
        <f>'2020-2022 год Приложение  4'!G440</f>
        <v>0</v>
      </c>
      <c r="G187" s="43">
        <f>'2020-2022 год Приложение  4'!H440</f>
        <v>195.3</v>
      </c>
      <c r="H187" s="43">
        <f>'2020-2022 год Приложение  4'!I440</f>
        <v>195.3</v>
      </c>
    </row>
    <row r="188" spans="1:8" ht="31.5">
      <c r="A188" s="40" t="s">
        <v>454</v>
      </c>
      <c r="B188" s="42" t="s">
        <v>183</v>
      </c>
      <c r="C188" s="42" t="s">
        <v>8</v>
      </c>
      <c r="D188" s="43">
        <f>'2020-2022 год Приложение  4'!E441</f>
        <v>104</v>
      </c>
      <c r="E188" s="43">
        <f>'2020-2022 год Приложение  4'!F441</f>
        <v>0</v>
      </c>
      <c r="F188" s="43">
        <f>'2020-2022 год Приложение  4'!G441</f>
        <v>104</v>
      </c>
      <c r="G188" s="43">
        <f>'2020-2022 год Приложение  4'!H441</f>
        <v>0</v>
      </c>
      <c r="H188" s="43">
        <f>'2020-2022 год Приложение  4'!I441</f>
        <v>0</v>
      </c>
    </row>
    <row r="189" spans="1:8" ht="31.5">
      <c r="A189" s="61" t="s">
        <v>10</v>
      </c>
      <c r="B189" s="42" t="s">
        <v>183</v>
      </c>
      <c r="C189" s="42" t="s">
        <v>11</v>
      </c>
      <c r="D189" s="43">
        <f>'2020-2022 год Приложение  4'!E442</f>
        <v>4298</v>
      </c>
      <c r="E189" s="43">
        <f>'2020-2022 год Приложение  4'!F442</f>
        <v>91.3</v>
      </c>
      <c r="F189" s="43">
        <f>'2020-2022 год Приложение  4'!G442</f>
        <v>4389.3</v>
      </c>
      <c r="G189" s="43">
        <f>'2020-2022 год Приложение  4'!H442</f>
        <v>4298</v>
      </c>
      <c r="H189" s="43">
        <f>'2020-2022 год Приложение  4'!I442</f>
        <v>4298</v>
      </c>
    </row>
    <row r="190" spans="1:8" ht="31.5">
      <c r="A190" s="10" t="s">
        <v>67</v>
      </c>
      <c r="B190" s="11" t="s">
        <v>118</v>
      </c>
      <c r="C190" s="11" t="s">
        <v>0</v>
      </c>
      <c r="D190" s="12">
        <f>D191+D199+D195</f>
        <v>78228.8</v>
      </c>
      <c r="E190" s="12">
        <f>E191+E199+E195</f>
        <v>3515.7999999999997</v>
      </c>
      <c r="F190" s="12">
        <f>F191+F199+F195</f>
        <v>81744.6</v>
      </c>
      <c r="G190" s="12">
        <f>G191+G199+G195</f>
        <v>76047</v>
      </c>
      <c r="H190" s="12">
        <f>H191+H199+H195</f>
        <v>76705.4</v>
      </c>
    </row>
    <row r="191" spans="1:8" ht="31.5">
      <c r="A191" s="40" t="s">
        <v>13</v>
      </c>
      <c r="B191" s="42" t="s">
        <v>119</v>
      </c>
      <c r="C191" s="42"/>
      <c r="D191" s="43">
        <f>D192+D193+D194</f>
        <v>35890.7</v>
      </c>
      <c r="E191" s="43">
        <f>E192+E193+E194</f>
        <v>2929.7</v>
      </c>
      <c r="F191" s="43">
        <f>F192+F193+F194</f>
        <v>38820.399999999994</v>
      </c>
      <c r="G191" s="43">
        <f>G192+G193+G194</f>
        <v>33949.3</v>
      </c>
      <c r="H191" s="43">
        <f>H192+H193+H194</f>
        <v>34038.9</v>
      </c>
    </row>
    <row r="192" spans="1:8" ht="63">
      <c r="A192" s="40" t="s">
        <v>14</v>
      </c>
      <c r="B192" s="42" t="s">
        <v>119</v>
      </c>
      <c r="C192" s="42" t="s">
        <v>15</v>
      </c>
      <c r="D192" s="43">
        <f>'2020-2022 год Приложение  4'!E445</f>
        <v>27711.5</v>
      </c>
      <c r="E192" s="43">
        <f>'2020-2022 год Приложение  4'!F445</f>
        <v>3245.2</v>
      </c>
      <c r="F192" s="43">
        <f>'2020-2022 год Приложение  4'!G445</f>
        <v>30956.7</v>
      </c>
      <c r="G192" s="43">
        <f>'2020-2022 год Приложение  4'!H445</f>
        <v>27728</v>
      </c>
      <c r="H192" s="43">
        <f>'2020-2022 год Приложение  4'!I445</f>
        <v>27676.2</v>
      </c>
    </row>
    <row r="193" spans="1:8" ht="47.25">
      <c r="A193" s="45" t="s">
        <v>449</v>
      </c>
      <c r="B193" s="42" t="s">
        <v>119</v>
      </c>
      <c r="C193" s="42" t="s">
        <v>8</v>
      </c>
      <c r="D193" s="43">
        <f>'2020-2022 год Приложение  4'!E446</f>
        <v>7873</v>
      </c>
      <c r="E193" s="43">
        <f>'2020-2022 год Приложение  4'!F446</f>
        <v>-319</v>
      </c>
      <c r="F193" s="43">
        <f>'2020-2022 год Приложение  4'!G446</f>
        <v>7554</v>
      </c>
      <c r="G193" s="43">
        <f>'2020-2022 год Приложение  4'!H446</f>
        <v>6002.8</v>
      </c>
      <c r="H193" s="43">
        <f>'2020-2022 год Приложение  4'!I446</f>
        <v>6144.2</v>
      </c>
    </row>
    <row r="194" spans="1:8" ht="15.75">
      <c r="A194" s="45" t="s">
        <v>9</v>
      </c>
      <c r="B194" s="42" t="s">
        <v>119</v>
      </c>
      <c r="C194" s="42" t="s">
        <v>12</v>
      </c>
      <c r="D194" s="43">
        <f>'2020-2022 год Приложение  4'!E447</f>
        <v>306.2</v>
      </c>
      <c r="E194" s="43">
        <f>'2020-2022 год Приложение  4'!F447</f>
        <v>3.5</v>
      </c>
      <c r="F194" s="43">
        <f>'2020-2022 год Приложение  4'!G447</f>
        <v>309.7</v>
      </c>
      <c r="G194" s="43">
        <f>'2020-2022 год Приложение  4'!H447</f>
        <v>218.5</v>
      </c>
      <c r="H194" s="43">
        <f>'2020-2022 год Приложение  4'!I447</f>
        <v>218.5</v>
      </c>
    </row>
    <row r="195" spans="1:8" ht="60.75" customHeight="1">
      <c r="A195" s="45" t="s">
        <v>259</v>
      </c>
      <c r="B195" s="42" t="s">
        <v>324</v>
      </c>
      <c r="C195" s="42"/>
      <c r="D195" s="43">
        <f>'2020-2022 год Приложение  4'!E448</f>
        <v>7782.6</v>
      </c>
      <c r="E195" s="43">
        <f>'2020-2022 год Приложение  4'!F448</f>
        <v>0</v>
      </c>
      <c r="F195" s="43">
        <f>'2020-2022 год Приложение  4'!G448</f>
        <v>7782.6</v>
      </c>
      <c r="G195" s="43">
        <f>'2020-2022 год Приложение  4'!H448</f>
        <v>8023.200000000001</v>
      </c>
      <c r="H195" s="43">
        <f>'2020-2022 год Приложение  4'!I448</f>
        <v>8329</v>
      </c>
    </row>
    <row r="196" spans="1:8" ht="63">
      <c r="A196" s="40" t="s">
        <v>14</v>
      </c>
      <c r="B196" s="42" t="s">
        <v>324</v>
      </c>
      <c r="C196" s="42" t="s">
        <v>15</v>
      </c>
      <c r="D196" s="43">
        <f>'2020-2022 год Приложение  4'!E449</f>
        <v>6460.400000000001</v>
      </c>
      <c r="E196" s="43">
        <f>'2020-2022 год Приложение  4'!F449</f>
        <v>0</v>
      </c>
      <c r="F196" s="43">
        <f>'2020-2022 год Приложение  4'!G449</f>
        <v>6460.400000000001</v>
      </c>
      <c r="G196" s="43">
        <f>'2020-2022 год Приложение  4'!H449</f>
        <v>6624.8</v>
      </c>
      <c r="H196" s="43">
        <f>'2020-2022 год Приложение  4'!I449</f>
        <v>6623.3</v>
      </c>
    </row>
    <row r="197" spans="1:8" ht="47.25">
      <c r="A197" s="45" t="s">
        <v>449</v>
      </c>
      <c r="B197" s="42" t="s">
        <v>324</v>
      </c>
      <c r="C197" s="42" t="s">
        <v>8</v>
      </c>
      <c r="D197" s="43">
        <f>'2020-2022 год Приложение  4'!E450</f>
        <v>1302.1</v>
      </c>
      <c r="E197" s="43">
        <f>'2020-2022 год Приложение  4'!F450</f>
        <v>0</v>
      </c>
      <c r="F197" s="43">
        <f>'2020-2022 год Приложение  4'!G450</f>
        <v>1302.1</v>
      </c>
      <c r="G197" s="43">
        <f>'2020-2022 год Приложение  4'!H450</f>
        <v>1378.3</v>
      </c>
      <c r="H197" s="43">
        <f>'2020-2022 год Приложение  4'!I450</f>
        <v>1685.6</v>
      </c>
    </row>
    <row r="198" spans="1:8" ht="15.75">
      <c r="A198" s="40" t="s">
        <v>27</v>
      </c>
      <c r="B198" s="42" t="s">
        <v>324</v>
      </c>
      <c r="C198" s="42" t="s">
        <v>16</v>
      </c>
      <c r="D198" s="43">
        <f>'2020-2022 год Приложение  4'!E451</f>
        <v>20.1</v>
      </c>
      <c r="E198" s="43">
        <f>'2020-2022 год Приложение  4'!F451</f>
        <v>0</v>
      </c>
      <c r="F198" s="43">
        <f>'2020-2022 год Приложение  4'!G451</f>
        <v>20.1</v>
      </c>
      <c r="G198" s="43">
        <f>'2020-2022 год Приложение  4'!H451</f>
        <v>20.1</v>
      </c>
      <c r="H198" s="43">
        <f>'2020-2022 год Приложение  4'!I451</f>
        <v>20.1</v>
      </c>
    </row>
    <row r="199" spans="1:8" ht="31.5">
      <c r="A199" s="40" t="s">
        <v>53</v>
      </c>
      <c r="B199" s="42" t="s">
        <v>120</v>
      </c>
      <c r="C199" s="42"/>
      <c r="D199" s="43">
        <f>D200+D201</f>
        <v>34555.5</v>
      </c>
      <c r="E199" s="43">
        <f>E200+E201</f>
        <v>586.1</v>
      </c>
      <c r="F199" s="43">
        <f>F200+F201</f>
        <v>35141.6</v>
      </c>
      <c r="G199" s="43">
        <f>G200+G201</f>
        <v>34074.5</v>
      </c>
      <c r="H199" s="43">
        <f>H200+H201</f>
        <v>34337.5</v>
      </c>
    </row>
    <row r="200" spans="1:8" ht="63">
      <c r="A200" s="40" t="s">
        <v>14</v>
      </c>
      <c r="B200" s="42" t="s">
        <v>120</v>
      </c>
      <c r="C200" s="42" t="s">
        <v>15</v>
      </c>
      <c r="D200" s="43">
        <f>'2020-2022 год Приложение  4'!E453</f>
        <v>33216.8</v>
      </c>
      <c r="E200" s="43">
        <f>'2020-2022 год Приложение  4'!F453</f>
        <v>508.1</v>
      </c>
      <c r="F200" s="43">
        <f>'2020-2022 год Приложение  4'!G453</f>
        <v>33724.9</v>
      </c>
      <c r="G200" s="43">
        <f>'2020-2022 год Приложение  4'!H453</f>
        <v>33235.7</v>
      </c>
      <c r="H200" s="43">
        <f>'2020-2022 год Приложение  4'!I453</f>
        <v>33218.4</v>
      </c>
    </row>
    <row r="201" spans="1:8" ht="47.25">
      <c r="A201" s="45" t="s">
        <v>449</v>
      </c>
      <c r="B201" s="42" t="s">
        <v>120</v>
      </c>
      <c r="C201" s="42" t="s">
        <v>8</v>
      </c>
      <c r="D201" s="43">
        <f>'2020-2022 год Приложение  4'!E454</f>
        <v>1338.7</v>
      </c>
      <c r="E201" s="43">
        <f>'2020-2022 год Приложение  4'!F454</f>
        <v>78</v>
      </c>
      <c r="F201" s="43">
        <f>'2020-2022 год Приложение  4'!G454</f>
        <v>1416.7</v>
      </c>
      <c r="G201" s="43">
        <f>'2020-2022 год Приложение  4'!H454</f>
        <v>838.8</v>
      </c>
      <c r="H201" s="43">
        <f>'2020-2022 год Приложение  4'!I454</f>
        <v>1119.1</v>
      </c>
    </row>
    <row r="202" spans="1:8" ht="15.75">
      <c r="A202" s="29" t="s">
        <v>321</v>
      </c>
      <c r="B202" s="30" t="s">
        <v>131</v>
      </c>
      <c r="C202" s="30" t="s">
        <v>0</v>
      </c>
      <c r="D202" s="31">
        <f>D203+D205+D207+D209+D211+D213+D215+D217+D219+D221+D223+D225+D227+D229+D231+D233+D235+D237+D239+D241+D243+D245+D247+D251</f>
        <v>178691.80000000002</v>
      </c>
      <c r="E202" s="31">
        <f>E203+E205+E207+E209+E211+E213+E215+E217+E219+E221+E223+E225+E227+E229+E231+E233+E235+E237+E239+E241+E243+E245+E247+E251</f>
        <v>2457</v>
      </c>
      <c r="F202" s="31">
        <f>F203+F205+F207+F209+F211+F213+F215+F217+F219+F221+F223+F225+F227+F229+F231+F233+F235+F237+F239+F241+F243+F245+F247+F251</f>
        <v>181148.8</v>
      </c>
      <c r="G202" s="31">
        <f>G203+G205+G207+G209+G211+G213+G215+G217+G219+G221+G223+G225+G227+G229+G231+G233+G235+G237+G239+G241+G243+G245+G247+G251</f>
        <v>168307.9</v>
      </c>
      <c r="H202" s="31">
        <f>H203+H205+H207+H209+H211+H213+H215+H217+H219+H221+H223+H225+H227+H229+H231+H233+H235+H237+H239+H241+H243+H245+H247+H251</f>
        <v>176949.7</v>
      </c>
    </row>
    <row r="203" spans="1:8" ht="31.5">
      <c r="A203" s="40" t="s">
        <v>49</v>
      </c>
      <c r="B203" s="42" t="s">
        <v>130</v>
      </c>
      <c r="C203" s="42"/>
      <c r="D203" s="20">
        <f>'2020-2022 год Приложение  4'!E278</f>
        <v>12132.1</v>
      </c>
      <c r="E203" s="20">
        <f>'2020-2022 год Приложение  4'!F278</f>
        <v>0</v>
      </c>
      <c r="F203" s="20">
        <f>'2020-2022 год Приложение  4'!G278</f>
        <v>12132.1</v>
      </c>
      <c r="G203" s="20">
        <f>'2020-2022 год Приложение  4'!H278</f>
        <v>15237.7</v>
      </c>
      <c r="H203" s="20">
        <f>'2020-2022 год Приложение  4'!I278</f>
        <v>15730.900000000003</v>
      </c>
    </row>
    <row r="204" spans="1:8" ht="31.5">
      <c r="A204" s="22" t="s">
        <v>10</v>
      </c>
      <c r="B204" s="42" t="s">
        <v>130</v>
      </c>
      <c r="C204" s="42" t="s">
        <v>11</v>
      </c>
      <c r="D204" s="20">
        <f>'2020-2022 год Приложение  4'!E279</f>
        <v>12132.1</v>
      </c>
      <c r="E204" s="20">
        <f>'2020-2022 год Приложение  4'!F279</f>
        <v>0</v>
      </c>
      <c r="F204" s="20">
        <f>'2020-2022 год Приложение  4'!G279</f>
        <v>12132.1</v>
      </c>
      <c r="G204" s="20">
        <f>'2020-2022 год Приложение  4'!H279</f>
        <v>15237.7</v>
      </c>
      <c r="H204" s="20">
        <f>'2020-2022 год Приложение  4'!I279</f>
        <v>15730.900000000003</v>
      </c>
    </row>
    <row r="205" spans="1:8" ht="47.25">
      <c r="A205" s="22" t="s">
        <v>285</v>
      </c>
      <c r="B205" s="42" t="s">
        <v>284</v>
      </c>
      <c r="C205" s="42"/>
      <c r="D205" s="20">
        <f>'2020-2022 год Приложение  4'!E280</f>
        <v>5030.7</v>
      </c>
      <c r="E205" s="20">
        <f>'2020-2022 год Приложение  4'!F280</f>
        <v>0</v>
      </c>
      <c r="F205" s="20">
        <f>'2020-2022 год Приложение  4'!G280</f>
        <v>5030.7</v>
      </c>
      <c r="G205" s="20">
        <f>'2020-2022 год Приложение  4'!H280</f>
        <v>5503.7</v>
      </c>
      <c r="H205" s="20">
        <f>'2020-2022 год Приложение  4'!I280</f>
        <v>5994.9</v>
      </c>
    </row>
    <row r="206" spans="1:8" ht="15.75">
      <c r="A206" s="110" t="s">
        <v>42</v>
      </c>
      <c r="B206" s="42" t="s">
        <v>284</v>
      </c>
      <c r="C206" s="42" t="s">
        <v>43</v>
      </c>
      <c r="D206" s="20">
        <f>'2020-2022 год Приложение  4'!E281</f>
        <v>5030.7</v>
      </c>
      <c r="E206" s="20">
        <f>'2020-2022 год Приложение  4'!F281</f>
        <v>0</v>
      </c>
      <c r="F206" s="20">
        <f>'2020-2022 год Приложение  4'!G281</f>
        <v>5030.7</v>
      </c>
      <c r="G206" s="20">
        <f>'2020-2022 год Приложение  4'!H281</f>
        <v>5503.7</v>
      </c>
      <c r="H206" s="20">
        <f>'2020-2022 год Приложение  4'!I281</f>
        <v>5994.9</v>
      </c>
    </row>
    <row r="207" spans="1:8" ht="63">
      <c r="A207" s="22" t="s">
        <v>267</v>
      </c>
      <c r="B207" s="42" t="s">
        <v>266</v>
      </c>
      <c r="C207" s="42"/>
      <c r="D207" s="20">
        <f>D208</f>
        <v>15951.2</v>
      </c>
      <c r="E207" s="20">
        <f>E208</f>
        <v>0</v>
      </c>
      <c r="F207" s="20">
        <f>F208</f>
        <v>15951.2</v>
      </c>
      <c r="G207" s="20">
        <f>G208</f>
        <v>17450.2</v>
      </c>
      <c r="H207" s="20">
        <f>H208</f>
        <v>19008.2</v>
      </c>
    </row>
    <row r="208" spans="1:8" ht="31.5">
      <c r="A208" s="22" t="s">
        <v>10</v>
      </c>
      <c r="B208" s="42" t="s">
        <v>266</v>
      </c>
      <c r="C208" s="42" t="s">
        <v>11</v>
      </c>
      <c r="D208" s="20">
        <f>'2020-2022 год Приложение  4'!E283</f>
        <v>15951.2</v>
      </c>
      <c r="E208" s="20">
        <f>'2020-2022 год Приложение  4'!F283</f>
        <v>0</v>
      </c>
      <c r="F208" s="20">
        <f>'2020-2022 год Приложение  4'!G283</f>
        <v>15951.2</v>
      </c>
      <c r="G208" s="20">
        <f>'2020-2022 год Приложение  4'!H283</f>
        <v>17450.2</v>
      </c>
      <c r="H208" s="20">
        <f>'2020-2022 год Приложение  4'!I283</f>
        <v>19008.2</v>
      </c>
    </row>
    <row r="209" spans="1:8" ht="31.5">
      <c r="A209" s="22" t="s">
        <v>261</v>
      </c>
      <c r="B209" s="42" t="s">
        <v>260</v>
      </c>
      <c r="C209" s="42"/>
      <c r="D209" s="20">
        <f>'2020-2022 год Приложение  4'!E284</f>
        <v>44.1</v>
      </c>
      <c r="E209" s="20">
        <f>'2020-2022 год Приложение  4'!F284</f>
        <v>0</v>
      </c>
      <c r="F209" s="20">
        <f>'2020-2022 год Приложение  4'!G284</f>
        <v>44.1</v>
      </c>
      <c r="G209" s="20">
        <f>'2020-2022 год Приложение  4'!H284</f>
        <v>44.1</v>
      </c>
      <c r="H209" s="20">
        <f>'2020-2022 год Приложение  4'!I284</f>
        <v>44.1</v>
      </c>
    </row>
    <row r="210" spans="1:8" ht="31.5">
      <c r="A210" s="22" t="s">
        <v>10</v>
      </c>
      <c r="B210" s="42" t="s">
        <v>260</v>
      </c>
      <c r="C210" s="42" t="s">
        <v>11</v>
      </c>
      <c r="D210" s="20">
        <f>'2020-2022 год Приложение  4'!E285</f>
        <v>44.1</v>
      </c>
      <c r="E210" s="20">
        <f>'2020-2022 год Приложение  4'!F285</f>
        <v>0</v>
      </c>
      <c r="F210" s="20">
        <f>'2020-2022 год Приложение  4'!G285</f>
        <v>44.1</v>
      </c>
      <c r="G210" s="20">
        <f>'2020-2022 год Приложение  4'!H285</f>
        <v>44.1</v>
      </c>
      <c r="H210" s="20">
        <f>'2020-2022 год Приложение  4'!I285</f>
        <v>44.1</v>
      </c>
    </row>
    <row r="211" spans="1:8" ht="15.75">
      <c r="A211" s="22" t="s">
        <v>389</v>
      </c>
      <c r="B211" s="42" t="s">
        <v>390</v>
      </c>
      <c r="C211" s="42"/>
      <c r="D211" s="20">
        <f>'2020-2022 год Приложение  4'!E286</f>
        <v>4996.3</v>
      </c>
      <c r="E211" s="20">
        <f>'2020-2022 год Приложение  4'!F286</f>
        <v>115</v>
      </c>
      <c r="F211" s="20">
        <f>'2020-2022 год Приложение  4'!G286</f>
        <v>5111.3</v>
      </c>
      <c r="G211" s="20">
        <f>'2020-2022 год Приложение  4'!H286</f>
        <v>0</v>
      </c>
      <c r="H211" s="20">
        <f>'2020-2022 год Приложение  4'!I286</f>
        <v>0</v>
      </c>
    </row>
    <row r="212" spans="1:8" ht="31.5">
      <c r="A212" s="22" t="s">
        <v>10</v>
      </c>
      <c r="B212" s="42" t="s">
        <v>390</v>
      </c>
      <c r="C212" s="42" t="s">
        <v>11</v>
      </c>
      <c r="D212" s="20">
        <f>'2020-2022 год Приложение  4'!E287</f>
        <v>4996.3</v>
      </c>
      <c r="E212" s="20">
        <f>'2020-2022 год Приложение  4'!F287</f>
        <v>115</v>
      </c>
      <c r="F212" s="20">
        <f>'2020-2022 год Приложение  4'!G287</f>
        <v>5111.3</v>
      </c>
      <c r="G212" s="20">
        <f>'2020-2022 год Приложение  4'!H287</f>
        <v>0</v>
      </c>
      <c r="H212" s="20">
        <f>'2020-2022 год Приложение  4'!I287</f>
        <v>0</v>
      </c>
    </row>
    <row r="213" spans="1:8" ht="15.75">
      <c r="A213" s="22" t="s">
        <v>389</v>
      </c>
      <c r="B213" s="42" t="s">
        <v>428</v>
      </c>
      <c r="C213" s="42"/>
      <c r="D213" s="20">
        <f>'2020-2022 год Приложение  4'!E288</f>
        <v>36.7</v>
      </c>
      <c r="E213" s="20">
        <f>'2020-2022 год Приложение  4'!F288</f>
        <v>0</v>
      </c>
      <c r="F213" s="20">
        <f>'2020-2022 год Приложение  4'!G288</f>
        <v>36.7</v>
      </c>
      <c r="G213" s="20">
        <f>'2020-2022 год Приложение  4'!H288</f>
        <v>0</v>
      </c>
      <c r="H213" s="20">
        <f>'2020-2022 год Приложение  4'!I288</f>
        <v>0</v>
      </c>
    </row>
    <row r="214" spans="1:8" ht="31.5">
      <c r="A214" s="22" t="s">
        <v>10</v>
      </c>
      <c r="B214" s="42" t="s">
        <v>428</v>
      </c>
      <c r="C214" s="42" t="s">
        <v>11</v>
      </c>
      <c r="D214" s="20">
        <f>'2020-2022 год Приложение  4'!E289</f>
        <v>36.7</v>
      </c>
      <c r="E214" s="20">
        <f>'2020-2022 год Приложение  4'!F289</f>
        <v>0</v>
      </c>
      <c r="F214" s="20">
        <f>'2020-2022 год Приложение  4'!G289</f>
        <v>36.7</v>
      </c>
      <c r="G214" s="20">
        <f>'2020-2022 год Приложение  4'!H289</f>
        <v>0</v>
      </c>
      <c r="H214" s="20">
        <f>'2020-2022 год Приложение  4'!I289</f>
        <v>0</v>
      </c>
    </row>
    <row r="215" spans="1:8" ht="31.5">
      <c r="A215" s="22" t="s">
        <v>249</v>
      </c>
      <c r="B215" s="42" t="s">
        <v>253</v>
      </c>
      <c r="C215" s="42"/>
      <c r="D215" s="20">
        <f>D216</f>
        <v>1484.1</v>
      </c>
      <c r="E215" s="20">
        <f>E216</f>
        <v>0</v>
      </c>
      <c r="F215" s="20">
        <f>F216</f>
        <v>1484.1</v>
      </c>
      <c r="G215" s="20">
        <f>G216</f>
        <v>0</v>
      </c>
      <c r="H215" s="20">
        <f>H216</f>
        <v>0</v>
      </c>
    </row>
    <row r="216" spans="1:8" ht="31.5">
      <c r="A216" s="22" t="s">
        <v>10</v>
      </c>
      <c r="B216" s="42" t="s">
        <v>253</v>
      </c>
      <c r="C216" s="42" t="s">
        <v>11</v>
      </c>
      <c r="D216" s="20">
        <f>'2020-2022 год Приложение  4'!E291</f>
        <v>1484.1</v>
      </c>
      <c r="E216" s="20">
        <f>'2020-2022 год Приложение  4'!F291</f>
        <v>0</v>
      </c>
      <c r="F216" s="20">
        <f>'2020-2022 год Приложение  4'!G291</f>
        <v>1484.1</v>
      </c>
      <c r="G216" s="20">
        <f>'2020-2022 год Приложение  4'!H291</f>
        <v>0</v>
      </c>
      <c r="H216" s="20">
        <f>'2020-2022 год Приложение  4'!I291</f>
        <v>0</v>
      </c>
    </row>
    <row r="217" spans="1:8" ht="15.75">
      <c r="A217" s="22" t="s">
        <v>196</v>
      </c>
      <c r="B217" s="42" t="s">
        <v>197</v>
      </c>
      <c r="C217" s="42"/>
      <c r="D217" s="20">
        <f>'2020-2022 год Приложение  4'!E292</f>
        <v>18.7</v>
      </c>
      <c r="E217" s="20">
        <f>'2020-2022 год Приложение  4'!F292</f>
        <v>0</v>
      </c>
      <c r="F217" s="20">
        <f>'2020-2022 год Приложение  4'!G292</f>
        <v>18.7</v>
      </c>
      <c r="G217" s="20">
        <f>'2020-2022 год Приложение  4'!H292</f>
        <v>0</v>
      </c>
      <c r="H217" s="20">
        <f>'2020-2022 год Приложение  4'!I292</f>
        <v>0</v>
      </c>
    </row>
    <row r="218" spans="1:8" ht="31.5">
      <c r="A218" s="22" t="s">
        <v>10</v>
      </c>
      <c r="B218" s="42" t="s">
        <v>197</v>
      </c>
      <c r="C218" s="42" t="s">
        <v>11</v>
      </c>
      <c r="D218" s="20">
        <f>'2020-2022 год Приложение  4'!E293</f>
        <v>18.7</v>
      </c>
      <c r="E218" s="20">
        <f>'2020-2022 год Приложение  4'!F293</f>
        <v>0</v>
      </c>
      <c r="F218" s="20">
        <f>'2020-2022 год Приложение  4'!G293</f>
        <v>18.7</v>
      </c>
      <c r="G218" s="20">
        <f>'2020-2022 год Приложение  4'!H293</f>
        <v>0</v>
      </c>
      <c r="H218" s="20">
        <f>'2020-2022 год Приложение  4'!I293</f>
        <v>0</v>
      </c>
    </row>
    <row r="219" spans="1:8" ht="31.5">
      <c r="A219" s="22" t="s">
        <v>249</v>
      </c>
      <c r="B219" s="42" t="s">
        <v>388</v>
      </c>
      <c r="C219" s="42"/>
      <c r="D219" s="20">
        <f>'2020-2022 год Приложение  4'!E294</f>
        <v>819.6</v>
      </c>
      <c r="E219" s="20">
        <f>'2020-2022 год Приложение  4'!F294</f>
        <v>0</v>
      </c>
      <c r="F219" s="20">
        <f>'2020-2022 год Приложение  4'!G294</f>
        <v>819.6</v>
      </c>
      <c r="G219" s="20">
        <f>'2020-2022 год Приложение  4'!H294</f>
        <v>0</v>
      </c>
      <c r="H219" s="20">
        <f>'2020-2022 год Приложение  4'!I294</f>
        <v>0</v>
      </c>
    </row>
    <row r="220" spans="1:8" ht="31.5">
      <c r="A220" s="22" t="s">
        <v>10</v>
      </c>
      <c r="B220" s="42" t="s">
        <v>388</v>
      </c>
      <c r="C220" s="42" t="s">
        <v>11</v>
      </c>
      <c r="D220" s="20">
        <f>'2020-2022 год Приложение  4'!E295</f>
        <v>819.6</v>
      </c>
      <c r="E220" s="20">
        <f>'2020-2022 год Приложение  4'!F295</f>
        <v>0</v>
      </c>
      <c r="F220" s="20">
        <f>'2020-2022 год Приложение  4'!G295</f>
        <v>819.6</v>
      </c>
      <c r="G220" s="20">
        <f>'2020-2022 год Приложение  4'!H295</f>
        <v>0</v>
      </c>
      <c r="H220" s="20">
        <f>'2020-2022 год Приложение  4'!I295</f>
        <v>0</v>
      </c>
    </row>
    <row r="221" spans="1:8" ht="31.5">
      <c r="A221" s="40" t="s">
        <v>255</v>
      </c>
      <c r="B221" s="42" t="s">
        <v>372</v>
      </c>
      <c r="C221" s="42"/>
      <c r="D221" s="20">
        <f>'2020-2022 год Приложение  4'!E296</f>
        <v>441.6</v>
      </c>
      <c r="E221" s="20">
        <f>'2020-2022 год Приложение  4'!F296</f>
        <v>0</v>
      </c>
      <c r="F221" s="20">
        <f>'2020-2022 год Приложение  4'!G296</f>
        <v>441.6</v>
      </c>
      <c r="G221" s="20">
        <f>G222</f>
        <v>0</v>
      </c>
      <c r="H221" s="20">
        <f>H222</f>
        <v>0</v>
      </c>
    </row>
    <row r="222" spans="1:8" ht="31.5">
      <c r="A222" s="22" t="s">
        <v>10</v>
      </c>
      <c r="B222" s="42" t="s">
        <v>372</v>
      </c>
      <c r="C222" s="42" t="s">
        <v>11</v>
      </c>
      <c r="D222" s="20">
        <f>'2020-2022 год Приложение  4'!E297</f>
        <v>441.6</v>
      </c>
      <c r="E222" s="20">
        <f>'2020-2022 год Приложение  4'!F297</f>
        <v>0</v>
      </c>
      <c r="F222" s="20">
        <f>'2020-2022 год Приложение  4'!G297</f>
        <v>441.6</v>
      </c>
      <c r="G222" s="20">
        <f>'2020-2022 год Приложение  4'!H297</f>
        <v>0</v>
      </c>
      <c r="H222" s="20">
        <f>'2020-2022 год Приложение  4'!I297</f>
        <v>0</v>
      </c>
    </row>
    <row r="223" spans="1:8" ht="15.75">
      <c r="A223" s="22" t="s">
        <v>196</v>
      </c>
      <c r="B223" s="42" t="s">
        <v>429</v>
      </c>
      <c r="C223" s="42"/>
      <c r="D223" s="20">
        <f>'2020-2022 год Приложение  4'!E298</f>
        <v>386</v>
      </c>
      <c r="E223" s="20">
        <f>'2020-2022 год Приложение  4'!F298</f>
        <v>0</v>
      </c>
      <c r="F223" s="20">
        <f>'2020-2022 год Приложение  4'!G298</f>
        <v>386</v>
      </c>
      <c r="G223" s="20">
        <f>'2020-2022 год Приложение  4'!H298</f>
        <v>0</v>
      </c>
      <c r="H223" s="20">
        <f>'2020-2022 год Приложение  4'!I298</f>
        <v>0</v>
      </c>
    </row>
    <row r="224" spans="1:8" ht="31.5">
      <c r="A224" s="22" t="s">
        <v>10</v>
      </c>
      <c r="B224" s="42" t="s">
        <v>429</v>
      </c>
      <c r="C224" s="42" t="s">
        <v>11</v>
      </c>
      <c r="D224" s="20">
        <f>'2020-2022 год Приложение  4'!E299</f>
        <v>386</v>
      </c>
      <c r="E224" s="20">
        <f>'2020-2022 год Приложение  4'!F299</f>
        <v>0</v>
      </c>
      <c r="F224" s="20">
        <f>'2020-2022 год Приложение  4'!G299</f>
        <v>386</v>
      </c>
      <c r="G224" s="20">
        <f>'2020-2022 год Приложение  4'!H299</f>
        <v>0</v>
      </c>
      <c r="H224" s="20">
        <f>'2020-2022 год Приложение  4'!I299</f>
        <v>0</v>
      </c>
    </row>
    <row r="225" spans="1:8" ht="47.25">
      <c r="A225" s="22" t="s">
        <v>431</v>
      </c>
      <c r="B225" s="42" t="s">
        <v>430</v>
      </c>
      <c r="C225" s="42"/>
      <c r="D225" s="20">
        <f>'2020-2022 год Приложение  4'!E300</f>
        <v>313</v>
      </c>
      <c r="E225" s="20">
        <f>'2020-2022 год Приложение  4'!F300</f>
        <v>0</v>
      </c>
      <c r="F225" s="20">
        <f>'2020-2022 год Приложение  4'!G300</f>
        <v>313</v>
      </c>
      <c r="G225" s="20">
        <f>'2020-2022 год Приложение  4'!H300</f>
        <v>0</v>
      </c>
      <c r="H225" s="20">
        <f>'2020-2022 год Приложение  4'!I300</f>
        <v>0</v>
      </c>
    </row>
    <row r="226" spans="1:8" ht="31.5">
      <c r="A226" s="22" t="s">
        <v>10</v>
      </c>
      <c r="B226" s="42" t="s">
        <v>430</v>
      </c>
      <c r="C226" s="42" t="s">
        <v>11</v>
      </c>
      <c r="D226" s="20">
        <f>'2020-2022 год Приложение  4'!E301</f>
        <v>313</v>
      </c>
      <c r="E226" s="20">
        <f>'2020-2022 год Приложение  4'!F301</f>
        <v>0</v>
      </c>
      <c r="F226" s="20">
        <f>'2020-2022 год Приложение  4'!G301</f>
        <v>313</v>
      </c>
      <c r="G226" s="20">
        <f>'2020-2022 год Приложение  4'!H301</f>
        <v>0</v>
      </c>
      <c r="H226" s="20">
        <f>'2020-2022 год Приложение  4'!I301</f>
        <v>0</v>
      </c>
    </row>
    <row r="227" spans="1:8" ht="31.5">
      <c r="A227" s="40" t="s">
        <v>51</v>
      </c>
      <c r="B227" s="42" t="s">
        <v>132</v>
      </c>
      <c r="C227" s="42"/>
      <c r="D227" s="20">
        <f>'2020-2022 год Приложение  4'!E302</f>
        <v>36405.6</v>
      </c>
      <c r="E227" s="20">
        <f>'2020-2022 год Приложение  4'!F302</f>
        <v>0</v>
      </c>
      <c r="F227" s="20">
        <f>'2020-2022 год Приложение  4'!G302</f>
        <v>36405.6</v>
      </c>
      <c r="G227" s="20">
        <f>'2020-2022 год Приложение  4'!H302</f>
        <v>34611.3</v>
      </c>
      <c r="H227" s="20">
        <f>'2020-2022 год Приложение  4'!I302</f>
        <v>34564.7</v>
      </c>
    </row>
    <row r="228" spans="1:8" ht="31.5">
      <c r="A228" s="22" t="s">
        <v>10</v>
      </c>
      <c r="B228" s="42" t="s">
        <v>132</v>
      </c>
      <c r="C228" s="42" t="s">
        <v>11</v>
      </c>
      <c r="D228" s="20">
        <f>'2020-2022 год Приложение  4'!E303</f>
        <v>36405.6</v>
      </c>
      <c r="E228" s="20">
        <f>'2020-2022 год Приложение  4'!F303</f>
        <v>0</v>
      </c>
      <c r="F228" s="20">
        <f>'2020-2022 год Приложение  4'!G303</f>
        <v>36405.6</v>
      </c>
      <c r="G228" s="20">
        <f>'2020-2022 год Приложение  4'!H303</f>
        <v>34611.3</v>
      </c>
      <c r="H228" s="20">
        <f>'2020-2022 год Приложение  4'!I303</f>
        <v>34564.7</v>
      </c>
    </row>
    <row r="229" spans="1:8" ht="47.25">
      <c r="A229" s="22" t="s">
        <v>285</v>
      </c>
      <c r="B229" s="42" t="s">
        <v>281</v>
      </c>
      <c r="C229" s="42"/>
      <c r="D229" s="20">
        <f>'2020-2022 год Приложение  4'!E304</f>
        <v>10795.2</v>
      </c>
      <c r="E229" s="20">
        <f>'2020-2022 год Приложение  4'!F304</f>
        <v>0</v>
      </c>
      <c r="F229" s="20">
        <f>'2020-2022 год Приложение  4'!G304</f>
        <v>10795.2</v>
      </c>
      <c r="G229" s="20">
        <f>'2020-2022 год Приложение  4'!H304</f>
        <v>11810.1</v>
      </c>
      <c r="H229" s="20">
        <f>'2020-2022 год Приложение  4'!I304</f>
        <v>12864.2</v>
      </c>
    </row>
    <row r="230" spans="1:8" ht="15.75">
      <c r="A230" s="110" t="s">
        <v>42</v>
      </c>
      <c r="B230" s="42" t="s">
        <v>281</v>
      </c>
      <c r="C230" s="42" t="s">
        <v>43</v>
      </c>
      <c r="D230" s="20">
        <f>'2020-2022 год Приложение  4'!E305</f>
        <v>10795.2</v>
      </c>
      <c r="E230" s="20">
        <f>'2020-2022 год Приложение  4'!F305</f>
        <v>0</v>
      </c>
      <c r="F230" s="20">
        <f>'2020-2022 год Приложение  4'!G305</f>
        <v>10795.2</v>
      </c>
      <c r="G230" s="20">
        <f>'2020-2022 год Приложение  4'!H305</f>
        <v>11810.1</v>
      </c>
      <c r="H230" s="20">
        <f>'2020-2022 год Приложение  4'!I305</f>
        <v>12864.2</v>
      </c>
    </row>
    <row r="231" spans="1:8" ht="63">
      <c r="A231" s="22" t="s">
        <v>267</v>
      </c>
      <c r="B231" s="42" t="s">
        <v>268</v>
      </c>
      <c r="C231" s="42"/>
      <c r="D231" s="20">
        <f>D232</f>
        <v>32965.5</v>
      </c>
      <c r="E231" s="20">
        <f>E232</f>
        <v>0</v>
      </c>
      <c r="F231" s="20">
        <f>F232</f>
        <v>32965.5</v>
      </c>
      <c r="G231" s="20">
        <f>G232</f>
        <v>36063.299999999996</v>
      </c>
      <c r="H231" s="20">
        <f>H232</f>
        <v>39283.9</v>
      </c>
    </row>
    <row r="232" spans="1:8" ht="31.5">
      <c r="A232" s="22" t="s">
        <v>10</v>
      </c>
      <c r="B232" s="42" t="s">
        <v>268</v>
      </c>
      <c r="C232" s="42" t="s">
        <v>11</v>
      </c>
      <c r="D232" s="20">
        <f>'2020-2022 год Приложение  4'!E307</f>
        <v>32965.5</v>
      </c>
      <c r="E232" s="20">
        <f>'2020-2022 год Приложение  4'!F307</f>
        <v>0</v>
      </c>
      <c r="F232" s="20">
        <f>'2020-2022 год Приложение  4'!G307</f>
        <v>32965.5</v>
      </c>
      <c r="G232" s="20">
        <f>'2020-2022 год Приложение  4'!H307</f>
        <v>36063.299999999996</v>
      </c>
      <c r="H232" s="20">
        <f>'2020-2022 год Приложение  4'!I307</f>
        <v>39283.9</v>
      </c>
    </row>
    <row r="233" spans="1:8" ht="31.5">
      <c r="A233" s="22" t="s">
        <v>261</v>
      </c>
      <c r="B233" s="42" t="s">
        <v>262</v>
      </c>
      <c r="C233" s="42"/>
      <c r="D233" s="20">
        <f>'2020-2022 год Приложение  4'!E308</f>
        <v>128.6</v>
      </c>
      <c r="E233" s="20">
        <f>'2020-2022 год Приложение  4'!F308</f>
        <v>0</v>
      </c>
      <c r="F233" s="20">
        <f>'2020-2022 год Приложение  4'!G308</f>
        <v>128.6</v>
      </c>
      <c r="G233" s="20">
        <f>G234</f>
        <v>128.6</v>
      </c>
      <c r="H233" s="20">
        <f>H234</f>
        <v>128.6</v>
      </c>
    </row>
    <row r="234" spans="1:8" ht="31.5">
      <c r="A234" s="22" t="s">
        <v>10</v>
      </c>
      <c r="B234" s="42" t="s">
        <v>262</v>
      </c>
      <c r="C234" s="42" t="s">
        <v>11</v>
      </c>
      <c r="D234" s="20">
        <f>'2020-2022 год Приложение  4'!E309</f>
        <v>128.6</v>
      </c>
      <c r="E234" s="20">
        <f>'2020-2022 год Приложение  4'!F309</f>
        <v>0</v>
      </c>
      <c r="F234" s="20">
        <f>'2020-2022 год Приложение  4'!G309</f>
        <v>128.6</v>
      </c>
      <c r="G234" s="20">
        <f>'2020-2022 год Приложение  4'!H309</f>
        <v>128.6</v>
      </c>
      <c r="H234" s="20">
        <f>'2020-2022 год Приложение  4'!I309</f>
        <v>128.6</v>
      </c>
    </row>
    <row r="235" spans="1:8" ht="31.5">
      <c r="A235" s="40" t="s">
        <v>50</v>
      </c>
      <c r="B235" s="42" t="s">
        <v>133</v>
      </c>
      <c r="C235" s="42"/>
      <c r="D235" s="20">
        <f>'2020-2022 год Приложение  4'!E310</f>
        <v>21282.9</v>
      </c>
      <c r="E235" s="20">
        <f>'2020-2022 год Приложение  4'!F310</f>
        <v>0</v>
      </c>
      <c r="F235" s="20">
        <f>'2020-2022 год Приложение  4'!G310</f>
        <v>21282.9</v>
      </c>
      <c r="G235" s="20">
        <f>'2020-2022 год Приложение  4'!H310</f>
        <v>19733.8</v>
      </c>
      <c r="H235" s="20">
        <f>'2020-2022 год Приложение  4'!I310</f>
        <v>20725</v>
      </c>
    </row>
    <row r="236" spans="1:8" ht="31.5">
      <c r="A236" s="22" t="s">
        <v>10</v>
      </c>
      <c r="B236" s="42" t="s">
        <v>133</v>
      </c>
      <c r="C236" s="42" t="s">
        <v>11</v>
      </c>
      <c r="D236" s="20">
        <f>'2020-2022 год Приложение  4'!E311</f>
        <v>21282.9</v>
      </c>
      <c r="E236" s="20">
        <f>'2020-2022 год Приложение  4'!F311</f>
        <v>0</v>
      </c>
      <c r="F236" s="20">
        <f>'2020-2022 год Приложение  4'!G311</f>
        <v>21282.9</v>
      </c>
      <c r="G236" s="20">
        <f>'2020-2022 год Приложение  4'!H311</f>
        <v>19733.8</v>
      </c>
      <c r="H236" s="20">
        <f>'2020-2022 год Приложение  4'!I311</f>
        <v>20725</v>
      </c>
    </row>
    <row r="237" spans="1:8" ht="47.25">
      <c r="A237" s="22" t="s">
        <v>272</v>
      </c>
      <c r="B237" s="42" t="s">
        <v>273</v>
      </c>
      <c r="C237" s="42"/>
      <c r="D237" s="20">
        <f>'2020-2022 год Приложение  4'!E312</f>
        <v>7477</v>
      </c>
      <c r="E237" s="20">
        <f>'2020-2022 год Приложение  4'!F312</f>
        <v>0</v>
      </c>
      <c r="F237" s="20">
        <f>'2020-2022 год Приложение  4'!G312</f>
        <v>7477</v>
      </c>
      <c r="G237" s="20">
        <f>'2020-2022 год Приложение  4'!H312</f>
        <v>8236.4</v>
      </c>
      <c r="H237" s="20">
        <f>'2020-2022 год Приложение  4'!I312</f>
        <v>9116.5</v>
      </c>
    </row>
    <row r="238" spans="1:8" ht="31.5">
      <c r="A238" s="22" t="s">
        <v>10</v>
      </c>
      <c r="B238" s="42" t="s">
        <v>273</v>
      </c>
      <c r="C238" s="42" t="s">
        <v>11</v>
      </c>
      <c r="D238" s="20">
        <f>'2020-2022 год Приложение  4'!E313</f>
        <v>7477</v>
      </c>
      <c r="E238" s="20">
        <f>'2020-2022 год Приложение  4'!F313</f>
        <v>0</v>
      </c>
      <c r="F238" s="20">
        <f>'2020-2022 год Приложение  4'!G313</f>
        <v>7477</v>
      </c>
      <c r="G238" s="20">
        <f>'2020-2022 год Приложение  4'!H313</f>
        <v>8236.4</v>
      </c>
      <c r="H238" s="20">
        <f>'2020-2022 год Приложение  4'!I313</f>
        <v>9116.5</v>
      </c>
    </row>
    <row r="239" spans="1:8" ht="31.5">
      <c r="A239" s="22" t="s">
        <v>261</v>
      </c>
      <c r="B239" s="42" t="s">
        <v>263</v>
      </c>
      <c r="C239" s="42"/>
      <c r="D239" s="20">
        <f>'2020-2022 год Приложение  4'!E314</f>
        <v>130</v>
      </c>
      <c r="E239" s="20">
        <f>'2020-2022 год Приложение  4'!F314</f>
        <v>0</v>
      </c>
      <c r="F239" s="20">
        <f>'2020-2022 год Приложение  4'!G314</f>
        <v>130</v>
      </c>
      <c r="G239" s="20">
        <f>'2020-2022 год Приложение  4'!H314</f>
        <v>130</v>
      </c>
      <c r="H239" s="20">
        <f>'2020-2022 год Приложение  4'!I314</f>
        <v>130</v>
      </c>
    </row>
    <row r="240" spans="1:8" ht="31.5">
      <c r="A240" s="22" t="s">
        <v>10</v>
      </c>
      <c r="B240" s="42" t="s">
        <v>263</v>
      </c>
      <c r="C240" s="42" t="s">
        <v>11</v>
      </c>
      <c r="D240" s="20">
        <f>'2020-2022 год Приложение  4'!E315</f>
        <v>130</v>
      </c>
      <c r="E240" s="20">
        <f>'2020-2022 год Приложение  4'!F315</f>
        <v>0</v>
      </c>
      <c r="F240" s="20">
        <f>'2020-2022 год Приложение  4'!G315</f>
        <v>130</v>
      </c>
      <c r="G240" s="20">
        <f>'2020-2022 год Приложение  4'!H315</f>
        <v>130</v>
      </c>
      <c r="H240" s="20">
        <f>'2020-2022 год Приложение  4'!I315</f>
        <v>130</v>
      </c>
    </row>
    <row r="241" spans="1:8" ht="47.25">
      <c r="A241" s="40" t="s">
        <v>436</v>
      </c>
      <c r="B241" s="42" t="s">
        <v>435</v>
      </c>
      <c r="C241" s="42"/>
      <c r="D241" s="20">
        <f>'2020-2022 год Приложение  4'!E316</f>
        <v>115</v>
      </c>
      <c r="E241" s="20">
        <f>'2020-2022 год Приложение  4'!F316</f>
        <v>-115</v>
      </c>
      <c r="F241" s="20">
        <f>'2020-2022 год Приложение  4'!G316</f>
        <v>0</v>
      </c>
      <c r="G241" s="20">
        <f>'2020-2022 год Приложение  4'!H316</f>
        <v>0</v>
      </c>
      <c r="H241" s="20">
        <f>'2020-2022 год Приложение  4'!I316</f>
        <v>0</v>
      </c>
    </row>
    <row r="242" spans="1:8" ht="31.5">
      <c r="A242" s="22" t="s">
        <v>10</v>
      </c>
      <c r="B242" s="42" t="s">
        <v>435</v>
      </c>
      <c r="C242" s="42" t="s">
        <v>11</v>
      </c>
      <c r="D242" s="20">
        <f>'2020-2022 год Приложение  4'!E317</f>
        <v>115</v>
      </c>
      <c r="E242" s="20">
        <f>'2020-2022 год Приложение  4'!F317</f>
        <v>-115</v>
      </c>
      <c r="F242" s="20">
        <f>'2020-2022 год Приложение  4'!G317</f>
        <v>0</v>
      </c>
      <c r="G242" s="20">
        <f>'2020-2022 год Приложение  4'!H317</f>
        <v>0</v>
      </c>
      <c r="H242" s="20">
        <f>'2020-2022 год Приложение  4'!I317</f>
        <v>0</v>
      </c>
    </row>
    <row r="243" spans="1:8" ht="15.75">
      <c r="A243" s="40" t="s">
        <v>181</v>
      </c>
      <c r="B243" s="42" t="s">
        <v>182</v>
      </c>
      <c r="C243" s="42"/>
      <c r="D243" s="20">
        <f>'2020-2022 год Приложение  4'!E318</f>
        <v>20</v>
      </c>
      <c r="E243" s="20">
        <f>'2020-2022 год Приложение  4'!F318</f>
        <v>0</v>
      </c>
      <c r="F243" s="20">
        <f>'2020-2022 год Приложение  4'!G318</f>
        <v>20</v>
      </c>
      <c r="G243" s="20">
        <f>'2020-2022 год Приложение  4'!H318</f>
        <v>20</v>
      </c>
      <c r="H243" s="20">
        <f>'2020-2022 год Приложение  4'!I318</f>
        <v>20</v>
      </c>
    </row>
    <row r="244" spans="1:8" ht="15.75">
      <c r="A244" s="40" t="s">
        <v>27</v>
      </c>
      <c r="B244" s="42" t="s">
        <v>182</v>
      </c>
      <c r="C244" s="42" t="s">
        <v>16</v>
      </c>
      <c r="D244" s="20">
        <f>'2020-2022 год Приложение  4'!E319</f>
        <v>20</v>
      </c>
      <c r="E244" s="20">
        <f>'2020-2022 год Приложение  4'!F319</f>
        <v>0</v>
      </c>
      <c r="F244" s="20">
        <f>'2020-2022 год Приложение  4'!G319</f>
        <v>20</v>
      </c>
      <c r="G244" s="20">
        <f>'2020-2022 год Приложение  4'!H319</f>
        <v>20</v>
      </c>
      <c r="H244" s="20">
        <f>'2020-2022 год Приложение  4'!I319</f>
        <v>20</v>
      </c>
    </row>
    <row r="245" spans="1:8" ht="47.25">
      <c r="A245" s="22" t="s">
        <v>433</v>
      </c>
      <c r="B245" s="42" t="s">
        <v>444</v>
      </c>
      <c r="C245" s="42"/>
      <c r="D245" s="20">
        <f>'2020-2022 год Приложение  4'!E320</f>
        <v>8379.2</v>
      </c>
      <c r="E245" s="20">
        <f>'2020-2022 год Приложение  4'!F320</f>
        <v>511.1</v>
      </c>
      <c r="F245" s="20">
        <f>'2020-2022 год Приложение  4'!G320</f>
        <v>8890.300000000001</v>
      </c>
      <c r="G245" s="20">
        <f>'2020-2022 год Приложение  4'!H320</f>
        <v>0</v>
      </c>
      <c r="H245" s="20">
        <f>'2020-2022 год Приложение  4'!I320</f>
        <v>0</v>
      </c>
    </row>
    <row r="246" spans="1:8" ht="31.5">
      <c r="A246" s="22" t="s">
        <v>10</v>
      </c>
      <c r="B246" s="42" t="s">
        <v>444</v>
      </c>
      <c r="C246" s="42" t="s">
        <v>11</v>
      </c>
      <c r="D246" s="20">
        <f>'2020-2022 год Приложение  4'!E321</f>
        <v>8379.2</v>
      </c>
      <c r="E246" s="20">
        <f>'2020-2022 год Приложение  4'!F321</f>
        <v>511.1</v>
      </c>
      <c r="F246" s="20">
        <f>'2020-2022 год Приложение  4'!G321</f>
        <v>8890.300000000001</v>
      </c>
      <c r="G246" s="20">
        <f>'2020-2022 год Приложение  4'!H321</f>
        <v>0</v>
      </c>
      <c r="H246" s="20">
        <f>'2020-2022 год Приложение  4'!I321</f>
        <v>0</v>
      </c>
    </row>
    <row r="247" spans="1:8" ht="15.75">
      <c r="A247" s="40" t="s">
        <v>22</v>
      </c>
      <c r="B247" s="42" t="s">
        <v>134</v>
      </c>
      <c r="C247" s="42"/>
      <c r="D247" s="20">
        <f>'2020-2022 год Приложение  4'!E322</f>
        <v>9535.6</v>
      </c>
      <c r="E247" s="20">
        <f>'2020-2022 год Приложение  4'!F322</f>
        <v>1879.4</v>
      </c>
      <c r="F247" s="20">
        <f>'2020-2022 год Приложение  4'!G322</f>
        <v>11415</v>
      </c>
      <c r="G247" s="20">
        <f>'2020-2022 год Приложение  4'!H322</f>
        <v>9535.6</v>
      </c>
      <c r="H247" s="20">
        <f>'2020-2022 год Приложение  4'!I322</f>
        <v>9535.6</v>
      </c>
    </row>
    <row r="248" spans="1:8" ht="63">
      <c r="A248" s="22" t="s">
        <v>14</v>
      </c>
      <c r="B248" s="42" t="s">
        <v>134</v>
      </c>
      <c r="C248" s="42" t="s">
        <v>15</v>
      </c>
      <c r="D248" s="20">
        <f>'2020-2022 год Приложение  4'!E323</f>
        <v>8439.7</v>
      </c>
      <c r="E248" s="20">
        <f>'2020-2022 год Приложение  4'!F323</f>
        <v>1879.4</v>
      </c>
      <c r="F248" s="20">
        <f>'2020-2022 год Приложение  4'!G323</f>
        <v>10319.1</v>
      </c>
      <c r="G248" s="20">
        <f>'2020-2022 год Приложение  4'!H323</f>
        <v>8439.7</v>
      </c>
      <c r="H248" s="20">
        <f>'2020-2022 год Приложение  4'!I323</f>
        <v>8439.7</v>
      </c>
    </row>
    <row r="249" spans="1:8" ht="47.25">
      <c r="A249" s="45" t="s">
        <v>449</v>
      </c>
      <c r="B249" s="42" t="s">
        <v>134</v>
      </c>
      <c r="C249" s="42" t="s">
        <v>8</v>
      </c>
      <c r="D249" s="20">
        <f>'2020-2022 год Приложение  4'!E324</f>
        <v>1077.1</v>
      </c>
      <c r="E249" s="20">
        <f>'2020-2022 год Приложение  4'!F324</f>
        <v>0</v>
      </c>
      <c r="F249" s="20">
        <f>'2020-2022 год Приложение  4'!G324</f>
        <v>1077.1</v>
      </c>
      <c r="G249" s="20">
        <f>'2020-2022 год Приложение  4'!H324</f>
        <v>1077.1</v>
      </c>
      <c r="H249" s="20">
        <f>'2020-2022 год Приложение  4'!I324</f>
        <v>1077.1</v>
      </c>
    </row>
    <row r="250" spans="1:8" ht="15.75">
      <c r="A250" s="54" t="s">
        <v>9</v>
      </c>
      <c r="B250" s="42" t="s">
        <v>134</v>
      </c>
      <c r="C250" s="42" t="s">
        <v>12</v>
      </c>
      <c r="D250" s="20">
        <f>'2020-2022 год Приложение  4'!E325</f>
        <v>18.8</v>
      </c>
      <c r="E250" s="20">
        <f>'2020-2022 год Приложение  4'!F325</f>
        <v>0</v>
      </c>
      <c r="F250" s="20">
        <f>'2020-2022 год Приложение  4'!G325</f>
        <v>18.8</v>
      </c>
      <c r="G250" s="20">
        <f>'2020-2022 год Приложение  4'!H325</f>
        <v>18.8</v>
      </c>
      <c r="H250" s="20">
        <f>'2020-2022 год Приложение  4'!I325</f>
        <v>18.8</v>
      </c>
    </row>
    <row r="251" spans="1:8" ht="15.75">
      <c r="A251" s="40" t="s">
        <v>48</v>
      </c>
      <c r="B251" s="42" t="s">
        <v>378</v>
      </c>
      <c r="C251" s="42"/>
      <c r="D251" s="20">
        <f>'2020-2022 год Приложение  4'!E326</f>
        <v>9803.1</v>
      </c>
      <c r="E251" s="20">
        <f>'2020-2022 год Приложение  4'!F326</f>
        <v>66.5</v>
      </c>
      <c r="F251" s="20">
        <f>'2020-2022 год Приложение  4'!G326</f>
        <v>9869.6</v>
      </c>
      <c r="G251" s="20">
        <f>'2020-2022 год Приложение  4'!H326</f>
        <v>9803.1</v>
      </c>
      <c r="H251" s="20">
        <f>'2020-2022 год Приложение  4'!I326</f>
        <v>9803.1</v>
      </c>
    </row>
    <row r="252" spans="1:8" ht="63">
      <c r="A252" s="22" t="s">
        <v>14</v>
      </c>
      <c r="B252" s="42" t="s">
        <v>378</v>
      </c>
      <c r="C252" s="42" t="s">
        <v>15</v>
      </c>
      <c r="D252" s="20">
        <f>'2020-2022 год Приложение  4'!E327</f>
        <v>9087.9</v>
      </c>
      <c r="E252" s="20" t="str">
        <f>'2020-2022 год Приложение  4'!F327</f>
        <v>66,5</v>
      </c>
      <c r="F252" s="20">
        <f>'2020-2022 год Приложение  4'!G327</f>
        <v>9154.4</v>
      </c>
      <c r="G252" s="20">
        <f>'2020-2022 год Приложение  4'!H327</f>
        <v>9087.9</v>
      </c>
      <c r="H252" s="20">
        <f>'2020-2022 год Приложение  4'!I327</f>
        <v>9087.9</v>
      </c>
    </row>
    <row r="253" spans="1:8" ht="47.25">
      <c r="A253" s="45" t="s">
        <v>449</v>
      </c>
      <c r="B253" s="42" t="s">
        <v>378</v>
      </c>
      <c r="C253" s="42" t="s">
        <v>8</v>
      </c>
      <c r="D253" s="20">
        <f>'2020-2022 год Приложение  4'!E328</f>
        <v>712.7</v>
      </c>
      <c r="E253" s="20">
        <f>'2020-2022 год Приложение  4'!F328</f>
        <v>0</v>
      </c>
      <c r="F253" s="20">
        <f>'2020-2022 год Приложение  4'!G328</f>
        <v>712.7</v>
      </c>
      <c r="G253" s="20">
        <f>'2020-2022 год Приложение  4'!H328</f>
        <v>712.7</v>
      </c>
      <c r="H253" s="20">
        <f>'2020-2022 год Приложение  4'!I328</f>
        <v>712.7</v>
      </c>
    </row>
    <row r="254" spans="1:8" ht="15.75">
      <c r="A254" s="54" t="s">
        <v>9</v>
      </c>
      <c r="B254" s="42" t="s">
        <v>378</v>
      </c>
      <c r="C254" s="42" t="s">
        <v>12</v>
      </c>
      <c r="D254" s="20">
        <f>'2020-2022 год Приложение  4'!E329</f>
        <v>2.5</v>
      </c>
      <c r="E254" s="20">
        <f>'2020-2022 год Приложение  4'!F329</f>
        <v>0</v>
      </c>
      <c r="F254" s="20">
        <f>'2020-2022 год Приложение  4'!G329</f>
        <v>2.5</v>
      </c>
      <c r="G254" s="20">
        <f>'2020-2022 год Приложение  4'!H329</f>
        <v>2.5</v>
      </c>
      <c r="H254" s="20">
        <f>'2020-2022 год Приложение  4'!I329</f>
        <v>2.5</v>
      </c>
    </row>
    <row r="255" spans="1:8" ht="31.5">
      <c r="A255" s="29" t="s">
        <v>305</v>
      </c>
      <c r="B255" s="30" t="s">
        <v>135</v>
      </c>
      <c r="C255" s="30" t="s">
        <v>0</v>
      </c>
      <c r="D255" s="31">
        <f>D256+D259+D261+D263+D265+D269+D271+D274+D276+D278+D267</f>
        <v>65948.90000000001</v>
      </c>
      <c r="E255" s="31">
        <f>E256+E259+E261+E263+E265+E269+E271+E274+E276+E278+E267</f>
        <v>2044.5</v>
      </c>
      <c r="F255" s="31">
        <f>F256+F259+F261+F263+F265+F269+F271+F274+F276+F278+F267</f>
        <v>67993.4</v>
      </c>
      <c r="G255" s="31">
        <f>G256+G259+G261+G263+G265+G269+G271+G274+G276+G278+G267</f>
        <v>61910.899999999994</v>
      </c>
      <c r="H255" s="31">
        <f>H256+H259+H261+H263+H265+H269+H271+H274+H276+H278+H267</f>
        <v>62368.399999999994</v>
      </c>
    </row>
    <row r="256" spans="1:8" ht="15.75">
      <c r="A256" s="40" t="s">
        <v>355</v>
      </c>
      <c r="B256" s="42" t="s">
        <v>356</v>
      </c>
      <c r="C256" s="42"/>
      <c r="D256" s="36">
        <f>'2020-2022 год Приложение  4'!E124</f>
        <v>2840</v>
      </c>
      <c r="E256" s="36">
        <f>'2020-2022 год Приложение  4'!F124</f>
        <v>661.7</v>
      </c>
      <c r="F256" s="36">
        <f>'2020-2022 год Приложение  4'!G124</f>
        <v>3501.7</v>
      </c>
      <c r="G256" s="36">
        <f>'2020-2022 год Приложение  4'!H124</f>
        <v>100</v>
      </c>
      <c r="H256" s="36">
        <f>'2020-2022 год Приложение  4'!I124</f>
        <v>100</v>
      </c>
    </row>
    <row r="257" spans="1:8" ht="47.25">
      <c r="A257" s="45" t="s">
        <v>449</v>
      </c>
      <c r="B257" s="42" t="s">
        <v>356</v>
      </c>
      <c r="C257" s="42" t="s">
        <v>8</v>
      </c>
      <c r="D257" s="36">
        <f>'2020-2022 год Приложение  4'!E125</f>
        <v>100</v>
      </c>
      <c r="E257" s="36">
        <f>'2020-2022 год Приложение  4'!F125</f>
        <v>0</v>
      </c>
      <c r="F257" s="36">
        <f>D257+E257</f>
        <v>100</v>
      </c>
      <c r="G257" s="36">
        <f>'2020-2022 год Приложение  4'!H125</f>
        <v>0</v>
      </c>
      <c r="H257" s="36">
        <f>'2020-2022 год Приложение  4'!I125</f>
        <v>0</v>
      </c>
    </row>
    <row r="258" spans="1:8" ht="31.5">
      <c r="A258" s="22" t="s">
        <v>10</v>
      </c>
      <c r="B258" s="42" t="s">
        <v>356</v>
      </c>
      <c r="C258" s="42" t="s">
        <v>11</v>
      </c>
      <c r="D258" s="36">
        <f>'2020-2022 год Приложение  4'!E126</f>
        <v>2740</v>
      </c>
      <c r="E258" s="36">
        <f>'2020-2022 год Приложение  4'!F126</f>
        <v>661.7</v>
      </c>
      <c r="F258" s="36">
        <f>'2020-2022 год Приложение  4'!G126</f>
        <v>3401.7</v>
      </c>
      <c r="G258" s="36">
        <f>'2020-2022 год Приложение  4'!H126</f>
        <v>100</v>
      </c>
      <c r="H258" s="36">
        <f>'2020-2022 год Приложение  4'!I126</f>
        <v>100</v>
      </c>
    </row>
    <row r="259" spans="1:8" ht="31.5">
      <c r="A259" s="40" t="s">
        <v>52</v>
      </c>
      <c r="B259" s="42" t="s">
        <v>136</v>
      </c>
      <c r="C259" s="42"/>
      <c r="D259" s="36">
        <f>'2020-2022 год Приложение  4'!E127</f>
        <v>55155.8</v>
      </c>
      <c r="E259" s="36">
        <f>'2020-2022 год Приложение  4'!F127</f>
        <v>2201.5</v>
      </c>
      <c r="F259" s="36">
        <f>'2020-2022 год Приложение  4'!G127</f>
        <v>57357.3</v>
      </c>
      <c r="G259" s="36">
        <f>'2020-2022 год Приложение  4'!H127</f>
        <v>55939.9</v>
      </c>
      <c r="H259" s="36">
        <f>'2020-2022 год Приложение  4'!I127</f>
        <v>55935.3</v>
      </c>
    </row>
    <row r="260" spans="1:8" ht="31.5">
      <c r="A260" s="22" t="s">
        <v>10</v>
      </c>
      <c r="B260" s="42" t="s">
        <v>136</v>
      </c>
      <c r="C260" s="42" t="s">
        <v>11</v>
      </c>
      <c r="D260" s="36">
        <f>'2020-2022 год Приложение  4'!E128</f>
        <v>55155.8</v>
      </c>
      <c r="E260" s="36">
        <f>'2020-2022 год Приложение  4'!F128</f>
        <v>2201.5</v>
      </c>
      <c r="F260" s="36">
        <f>'2020-2022 год Приложение  4'!G128</f>
        <v>57357.3</v>
      </c>
      <c r="G260" s="36">
        <f>'2020-2022 год Приложение  4'!H128</f>
        <v>55939.9</v>
      </c>
      <c r="H260" s="36">
        <f>'2020-2022 год Приложение  4'!I128</f>
        <v>55935.3</v>
      </c>
    </row>
    <row r="261" spans="1:8" ht="47.25">
      <c r="A261" s="40" t="s">
        <v>272</v>
      </c>
      <c r="B261" s="42" t="s">
        <v>275</v>
      </c>
      <c r="C261" s="42"/>
      <c r="D261" s="36">
        <f>'2020-2022 год Приложение  4'!E129</f>
        <v>2953.2</v>
      </c>
      <c r="E261" s="36">
        <f>'2020-2022 год Приложение  4'!F129</f>
        <v>0</v>
      </c>
      <c r="F261" s="36">
        <f>'2020-2022 год Приложение  4'!G129</f>
        <v>2953.2</v>
      </c>
      <c r="G261" s="36">
        <f>'2020-2022 год Приложение  4'!H129</f>
        <v>3398.1</v>
      </c>
      <c r="H261" s="36">
        <f>'2020-2022 год Приложение  4'!I129</f>
        <v>3860.2</v>
      </c>
    </row>
    <row r="262" spans="1:8" ht="31.5">
      <c r="A262" s="22" t="s">
        <v>10</v>
      </c>
      <c r="B262" s="42" t="s">
        <v>275</v>
      </c>
      <c r="C262" s="42" t="s">
        <v>11</v>
      </c>
      <c r="D262" s="36">
        <f>'2020-2022 год Приложение  4'!E130</f>
        <v>2953.2</v>
      </c>
      <c r="E262" s="36">
        <f>'2020-2022 год Приложение  4'!F130</f>
        <v>0</v>
      </c>
      <c r="F262" s="36">
        <f>'2020-2022 год Приложение  4'!G130</f>
        <v>2953.2</v>
      </c>
      <c r="G262" s="36">
        <f>'2020-2022 год Приложение  4'!H130</f>
        <v>3398.1</v>
      </c>
      <c r="H262" s="36">
        <f>'2020-2022 год Приложение  4'!I130</f>
        <v>3860.2</v>
      </c>
    </row>
    <row r="263" spans="1:8" ht="31.5">
      <c r="A263" s="40" t="s">
        <v>261</v>
      </c>
      <c r="B263" s="42" t="s">
        <v>334</v>
      </c>
      <c r="C263" s="42"/>
      <c r="D263" s="36">
        <f>'2020-2022 год Приложение  4'!E131</f>
        <v>52.2</v>
      </c>
      <c r="E263" s="36">
        <f>'2020-2022 год Приложение  4'!F131</f>
        <v>0</v>
      </c>
      <c r="F263" s="36">
        <f>'2020-2022 год Приложение  4'!G131</f>
        <v>52.2</v>
      </c>
      <c r="G263" s="36">
        <f>'2020-2022 год Приложение  4'!H131</f>
        <v>52.2</v>
      </c>
      <c r="H263" s="36">
        <f>'2020-2022 год Приложение  4'!I131</f>
        <v>52.2</v>
      </c>
    </row>
    <row r="264" spans="1:8" ht="31.5">
      <c r="A264" s="40" t="s">
        <v>10</v>
      </c>
      <c r="B264" s="42" t="s">
        <v>334</v>
      </c>
      <c r="C264" s="42" t="s">
        <v>11</v>
      </c>
      <c r="D264" s="36">
        <f>'2020-2022 год Приложение  4'!E132</f>
        <v>52.2</v>
      </c>
      <c r="E264" s="36">
        <f>'2020-2022 год Приложение  4'!F132</f>
        <v>0</v>
      </c>
      <c r="F264" s="36">
        <f>'2020-2022 год Приложение  4'!G132</f>
        <v>52.2</v>
      </c>
      <c r="G264" s="36">
        <f>'2020-2022 год Приложение  4'!H132</f>
        <v>52.2</v>
      </c>
      <c r="H264" s="36">
        <f>'2020-2022 год Приложение  4'!I132</f>
        <v>52.2</v>
      </c>
    </row>
    <row r="265" spans="1:8" ht="29.25" customHeight="1">
      <c r="A265" s="22" t="s">
        <v>40</v>
      </c>
      <c r="B265" s="42" t="s">
        <v>357</v>
      </c>
      <c r="C265" s="42"/>
      <c r="D265" s="36">
        <f>'2020-2022 год Приложение  4'!E133</f>
        <v>300.7</v>
      </c>
      <c r="E265" s="36">
        <f>'2020-2022 год Приложение  4'!F133</f>
        <v>0</v>
      </c>
      <c r="F265" s="36">
        <f>'2020-2022 год Приложение  4'!G133</f>
        <v>300.7</v>
      </c>
      <c r="G265" s="36">
        <f>'2020-2022 год Приложение  4'!H133</f>
        <v>300.7</v>
      </c>
      <c r="H265" s="36">
        <f>'2020-2022 год Приложение  4'!I133</f>
        <v>300.7</v>
      </c>
    </row>
    <row r="266" spans="1:8" ht="31.5">
      <c r="A266" s="22" t="s">
        <v>10</v>
      </c>
      <c r="B266" s="42" t="s">
        <v>357</v>
      </c>
      <c r="C266" s="42" t="s">
        <v>11</v>
      </c>
      <c r="D266" s="36">
        <f>'2020-2022 год Приложение  4'!E134</f>
        <v>300.7</v>
      </c>
      <c r="E266" s="36">
        <f>'2020-2022 год Приложение  4'!F134</f>
        <v>0</v>
      </c>
      <c r="F266" s="36">
        <f>'2020-2022 год Приложение  4'!G134</f>
        <v>300.7</v>
      </c>
      <c r="G266" s="36">
        <f>'2020-2022 год Приложение  4'!H134</f>
        <v>300.7</v>
      </c>
      <c r="H266" s="36">
        <f>'2020-2022 год Приложение  4'!I134</f>
        <v>300.7</v>
      </c>
    </row>
    <row r="267" spans="1:8" ht="47.25">
      <c r="A267" s="22" t="s">
        <v>433</v>
      </c>
      <c r="B267" s="42" t="s">
        <v>432</v>
      </c>
      <c r="C267" s="42"/>
      <c r="D267" s="36">
        <f>'2020-2022 год Приложение  4'!E135</f>
        <v>1788.6</v>
      </c>
      <c r="E267" s="36">
        <f>'2020-2022 год Приложение  4'!F135</f>
        <v>0</v>
      </c>
      <c r="F267" s="36">
        <f>'2020-2022 год Приложение  4'!G135</f>
        <v>1788.6</v>
      </c>
      <c r="G267" s="36">
        <f>'2020-2022 год Приложение  4'!H135</f>
        <v>0</v>
      </c>
      <c r="H267" s="36">
        <f>'2020-2022 год Приложение  4'!I135</f>
        <v>0</v>
      </c>
    </row>
    <row r="268" spans="1:8" ht="31.5">
      <c r="A268" s="22" t="s">
        <v>10</v>
      </c>
      <c r="B268" s="42" t="s">
        <v>432</v>
      </c>
      <c r="C268" s="42" t="s">
        <v>11</v>
      </c>
      <c r="D268" s="36">
        <f>'2020-2022 год Приложение  4'!E136</f>
        <v>1788.6</v>
      </c>
      <c r="E268" s="36">
        <f>'2020-2022 год Приложение  4'!F136</f>
        <v>0</v>
      </c>
      <c r="F268" s="36">
        <f>'2020-2022 год Приложение  4'!G136</f>
        <v>1788.6</v>
      </c>
      <c r="G268" s="36">
        <f>'2020-2022 год Приложение  4'!H136</f>
        <v>0</v>
      </c>
      <c r="H268" s="36">
        <f>'2020-2022 год Приложение  4'!I136</f>
        <v>0</v>
      </c>
    </row>
    <row r="269" spans="1:8" ht="31.5">
      <c r="A269" s="153" t="s">
        <v>212</v>
      </c>
      <c r="B269" s="42" t="s">
        <v>211</v>
      </c>
      <c r="C269" s="15"/>
      <c r="D269" s="36">
        <f>'2020-2022 год Приложение  4'!E137</f>
        <v>14.3</v>
      </c>
      <c r="E269" s="36">
        <f>'2020-2022 год Приложение  4'!F137</f>
        <v>0</v>
      </c>
      <c r="F269" s="36">
        <f>'2020-2022 год Приложение  4'!G137</f>
        <v>14.3</v>
      </c>
      <c r="G269" s="36">
        <f>'2020-2022 год Приложение  4'!H137</f>
        <v>20</v>
      </c>
      <c r="H269" s="36">
        <f>'2020-2022 год Приложение  4'!I137</f>
        <v>20</v>
      </c>
    </row>
    <row r="270" spans="1:8" ht="47.25">
      <c r="A270" s="45" t="s">
        <v>449</v>
      </c>
      <c r="B270" s="42" t="s">
        <v>211</v>
      </c>
      <c r="C270" s="15" t="s">
        <v>8</v>
      </c>
      <c r="D270" s="36">
        <f>'2020-2022 год Приложение  4'!E138</f>
        <v>14.3</v>
      </c>
      <c r="E270" s="36">
        <f>'2020-2022 год Приложение  4'!F138</f>
        <v>0</v>
      </c>
      <c r="F270" s="36">
        <f>'2020-2022 год Приложение  4'!G138</f>
        <v>14.3</v>
      </c>
      <c r="G270" s="36">
        <f>'2020-2022 год Приложение  4'!H138</f>
        <v>20</v>
      </c>
      <c r="H270" s="36">
        <f>'2020-2022 год Приложение  4'!I138</f>
        <v>20</v>
      </c>
    </row>
    <row r="271" spans="1:8" ht="31.5">
      <c r="A271" s="153" t="s">
        <v>41</v>
      </c>
      <c r="B271" s="42" t="s">
        <v>137</v>
      </c>
      <c r="C271" s="42"/>
      <c r="D271" s="36">
        <f>'2020-2022 год Приложение  4'!E139</f>
        <v>1721.3</v>
      </c>
      <c r="E271" s="36">
        <f>'2020-2022 год Приложение  4'!F139</f>
        <v>-718.7</v>
      </c>
      <c r="F271" s="36">
        <f>'2020-2022 год Приложение  4'!G139</f>
        <v>1002.5999999999999</v>
      </c>
      <c r="G271" s="36">
        <f>'2020-2022 год Приложение  4'!H139</f>
        <v>2000</v>
      </c>
      <c r="H271" s="36">
        <f>'2020-2022 год Приложение  4'!I139</f>
        <v>2000</v>
      </c>
    </row>
    <row r="272" spans="1:8" ht="63">
      <c r="A272" s="153" t="s">
        <v>14</v>
      </c>
      <c r="B272" s="42" t="s">
        <v>137</v>
      </c>
      <c r="C272" s="42" t="s">
        <v>15</v>
      </c>
      <c r="D272" s="36">
        <f>'2020-2022 год Приложение  4'!E140</f>
        <v>1300</v>
      </c>
      <c r="E272" s="36">
        <f>'2020-2022 год Приложение  4'!F140</f>
        <v>-600.7</v>
      </c>
      <c r="F272" s="36">
        <f>'2020-2022 год Приложение  4'!G140</f>
        <v>699.3</v>
      </c>
      <c r="G272" s="36">
        <f>'2020-2022 год Приложение  4'!H140</f>
        <v>1500</v>
      </c>
      <c r="H272" s="36">
        <f>'2020-2022 год Приложение  4'!I140</f>
        <v>1500</v>
      </c>
    </row>
    <row r="273" spans="1:8" ht="47.25">
      <c r="A273" s="45" t="s">
        <v>449</v>
      </c>
      <c r="B273" s="42" t="s">
        <v>137</v>
      </c>
      <c r="C273" s="42" t="s">
        <v>8</v>
      </c>
      <c r="D273" s="36">
        <f>'2020-2022 год Приложение  4'!E141</f>
        <v>421.3</v>
      </c>
      <c r="E273" s="36">
        <f>'2020-2022 год Приложение  4'!F141</f>
        <v>-118</v>
      </c>
      <c r="F273" s="36">
        <f>'2020-2022 год Приложение  4'!G141</f>
        <v>303.3</v>
      </c>
      <c r="G273" s="36">
        <f>'2020-2022 год Приложение  4'!H141</f>
        <v>500</v>
      </c>
      <c r="H273" s="36">
        <f>'2020-2022 год Приложение  4'!I141</f>
        <v>500</v>
      </c>
    </row>
    <row r="274" spans="1:8" ht="31.5">
      <c r="A274" s="22" t="s">
        <v>186</v>
      </c>
      <c r="B274" s="42" t="s">
        <v>198</v>
      </c>
      <c r="C274" s="15"/>
      <c r="D274" s="36">
        <f>'2020-2022 год Приложение  4'!E142</f>
        <v>100</v>
      </c>
      <c r="E274" s="36">
        <f>'2020-2022 год Приложение  4'!F142</f>
        <v>-100</v>
      </c>
      <c r="F274" s="36">
        <f>'2020-2022 год Приложение  4'!G142</f>
        <v>0</v>
      </c>
      <c r="G274" s="36">
        <f>'2020-2022 год Приложение  4'!H142</f>
        <v>100</v>
      </c>
      <c r="H274" s="36">
        <f>'2020-2022 год Приложение  4'!I142</f>
        <v>100</v>
      </c>
    </row>
    <row r="275" spans="1:8" ht="31.5">
      <c r="A275" s="22" t="s">
        <v>10</v>
      </c>
      <c r="B275" s="42" t="s">
        <v>198</v>
      </c>
      <c r="C275" s="15" t="s">
        <v>11</v>
      </c>
      <c r="D275" s="36">
        <f>'2020-2022 год Приложение  4'!E143</f>
        <v>100</v>
      </c>
      <c r="E275" s="36">
        <f>'2020-2022 год Приложение  4'!F143</f>
        <v>-100</v>
      </c>
      <c r="F275" s="36">
        <f>'2020-2022 год Приложение  4'!G143</f>
        <v>0</v>
      </c>
      <c r="G275" s="36">
        <f>'2020-2022 год Приложение  4'!H143</f>
        <v>100</v>
      </c>
      <c r="H275" s="36">
        <f>'2020-2022 год Приложение  4'!I143</f>
        <v>100</v>
      </c>
    </row>
    <row r="276" spans="1:8" ht="31.5">
      <c r="A276" s="22" t="s">
        <v>391</v>
      </c>
      <c r="B276" s="42" t="s">
        <v>434</v>
      </c>
      <c r="C276" s="15"/>
      <c r="D276" s="36">
        <f>'2020-2022 год Приложение  4'!E144</f>
        <v>387.9</v>
      </c>
      <c r="E276" s="36">
        <f>'2020-2022 год Приложение  4'!F144</f>
        <v>0</v>
      </c>
      <c r="F276" s="36">
        <f>'2020-2022 год Приложение  4'!G144</f>
        <v>387.9</v>
      </c>
      <c r="G276" s="36">
        <f>'2020-2022 год Приложение  4'!H144</f>
        <v>0</v>
      </c>
      <c r="H276" s="36">
        <f>'2020-2022 год Приложение  4'!I144</f>
        <v>0</v>
      </c>
    </row>
    <row r="277" spans="1:8" ht="31.5">
      <c r="A277" s="22" t="s">
        <v>10</v>
      </c>
      <c r="B277" s="42" t="s">
        <v>434</v>
      </c>
      <c r="C277" s="15" t="s">
        <v>11</v>
      </c>
      <c r="D277" s="36">
        <f>'2020-2022 год Приложение  4'!E145</f>
        <v>387.9</v>
      </c>
      <c r="E277" s="36">
        <f>'2020-2022 год Приложение  4'!F145</f>
        <v>0</v>
      </c>
      <c r="F277" s="36">
        <f>'2020-2022 год Приложение  4'!G145</f>
        <v>387.9</v>
      </c>
      <c r="G277" s="36">
        <f>'2020-2022 год Приложение  4'!H145</f>
        <v>0</v>
      </c>
      <c r="H277" s="36">
        <f>'2020-2022 год Приложение  4'!I145</f>
        <v>0</v>
      </c>
    </row>
    <row r="278" spans="1:8" ht="47.25">
      <c r="A278" s="22" t="s">
        <v>385</v>
      </c>
      <c r="B278" s="42" t="s">
        <v>386</v>
      </c>
      <c r="C278" s="15"/>
      <c r="D278" s="36">
        <f>'2020-2022 год Приложение  4'!E146</f>
        <v>634.9</v>
      </c>
      <c r="E278" s="36">
        <f>'2020-2022 год Приложение  4'!F146</f>
        <v>0</v>
      </c>
      <c r="F278" s="36">
        <f>'2020-2022 год Приложение  4'!G146</f>
        <v>634.9</v>
      </c>
      <c r="G278" s="36">
        <f>'2020-2022 год Приложение  4'!H146</f>
        <v>0</v>
      </c>
      <c r="H278" s="36">
        <f>'2020-2022 год Приложение  4'!I146</f>
        <v>0</v>
      </c>
    </row>
    <row r="279" spans="1:8" ht="31.5">
      <c r="A279" s="22" t="s">
        <v>10</v>
      </c>
      <c r="B279" s="42" t="s">
        <v>386</v>
      </c>
      <c r="C279" s="15" t="s">
        <v>11</v>
      </c>
      <c r="D279" s="36">
        <f>'2020-2022 год Приложение  4'!E147</f>
        <v>634.9</v>
      </c>
      <c r="E279" s="36">
        <f>'2020-2022 год Приложение  4'!F147</f>
        <v>0</v>
      </c>
      <c r="F279" s="36">
        <f>'2020-2022 год Приложение  4'!G147</f>
        <v>634.9</v>
      </c>
      <c r="G279" s="36">
        <f>'2020-2022 год Приложение  4'!H147</f>
        <v>0</v>
      </c>
      <c r="H279" s="36">
        <f>'2020-2022 год Приложение  4'!I147</f>
        <v>0</v>
      </c>
    </row>
    <row r="280" spans="1:8" ht="31.5">
      <c r="A280" s="29" t="s">
        <v>306</v>
      </c>
      <c r="B280" s="30" t="s">
        <v>147</v>
      </c>
      <c r="C280" s="30" t="s">
        <v>0</v>
      </c>
      <c r="D280" s="31">
        <f>D288+D301+D336+D281</f>
        <v>185747.5</v>
      </c>
      <c r="E280" s="31">
        <f>E288+E301+E336+E281</f>
        <v>11503.2</v>
      </c>
      <c r="F280" s="31">
        <f>F288+F301+F336+F281</f>
        <v>197250.69999999995</v>
      </c>
      <c r="G280" s="31">
        <f>G288+G301+G336+G281</f>
        <v>168813.4</v>
      </c>
      <c r="H280" s="31">
        <f>H288+H301+H336+H281</f>
        <v>166871.80000000002</v>
      </c>
    </row>
    <row r="281" spans="1:8" ht="31.5">
      <c r="A281" s="10" t="s">
        <v>307</v>
      </c>
      <c r="B281" s="81" t="s">
        <v>148</v>
      </c>
      <c r="C281" s="81"/>
      <c r="D281" s="101">
        <f>D282+D284</f>
        <v>28415.4</v>
      </c>
      <c r="E281" s="101">
        <f>E282+E284</f>
        <v>3315.1</v>
      </c>
      <c r="F281" s="101">
        <f>F282+F284</f>
        <v>31730.5</v>
      </c>
      <c r="G281" s="101">
        <f>G282+G284</f>
        <v>23414.100000000002</v>
      </c>
      <c r="H281" s="101">
        <f>H282+H284</f>
        <v>17518.6</v>
      </c>
    </row>
    <row r="282" spans="1:8" ht="15.75">
      <c r="A282" s="98" t="s">
        <v>233</v>
      </c>
      <c r="B282" s="35" t="s">
        <v>232</v>
      </c>
      <c r="C282" s="35"/>
      <c r="D282" s="36">
        <f>D283</f>
        <v>7041.4</v>
      </c>
      <c r="E282" s="36">
        <f>E283</f>
        <v>0</v>
      </c>
      <c r="F282" s="36">
        <f>F283</f>
        <v>7041.4</v>
      </c>
      <c r="G282" s="36">
        <f>G283</f>
        <v>6327.7</v>
      </c>
      <c r="H282" s="36">
        <f>H283</f>
        <v>0</v>
      </c>
    </row>
    <row r="283" spans="1:8" ht="15.75">
      <c r="A283" s="98" t="s">
        <v>223</v>
      </c>
      <c r="B283" s="35" t="s">
        <v>232</v>
      </c>
      <c r="C283" s="35" t="s">
        <v>224</v>
      </c>
      <c r="D283" s="36">
        <f>'2020-2022 год Приложение  4'!E151</f>
        <v>7041.4</v>
      </c>
      <c r="E283" s="36">
        <f>'2020-2022 год Приложение  4'!F151</f>
        <v>0</v>
      </c>
      <c r="F283" s="36">
        <f>'2020-2022 год Приложение  4'!G151</f>
        <v>7041.4</v>
      </c>
      <c r="G283" s="36">
        <f>'2020-2022 год Приложение  4'!H151</f>
        <v>6327.7</v>
      </c>
      <c r="H283" s="36">
        <f>'2020-2022 год Приложение  4'!I151</f>
        <v>0</v>
      </c>
    </row>
    <row r="284" spans="1:8" ht="31.5">
      <c r="A284" s="53" t="s">
        <v>13</v>
      </c>
      <c r="B284" s="15" t="s">
        <v>149</v>
      </c>
      <c r="C284" s="21"/>
      <c r="D284" s="20">
        <f>SUM(D285:D287)</f>
        <v>21374</v>
      </c>
      <c r="E284" s="20">
        <f>SUM(E285:E287)</f>
        <v>3315.1</v>
      </c>
      <c r="F284" s="20">
        <f>SUM(F285:F287)</f>
        <v>24689.1</v>
      </c>
      <c r="G284" s="20">
        <f>SUM(G285:G287)</f>
        <v>17086.4</v>
      </c>
      <c r="H284" s="20">
        <f>SUM(H285:H287)</f>
        <v>17518.6</v>
      </c>
    </row>
    <row r="285" spans="1:8" ht="63">
      <c r="A285" s="52" t="s">
        <v>14</v>
      </c>
      <c r="B285" s="15" t="s">
        <v>149</v>
      </c>
      <c r="C285" s="42" t="s">
        <v>15</v>
      </c>
      <c r="D285" s="20">
        <f>'2020-2022 год Приложение  4'!E470</f>
        <v>19945</v>
      </c>
      <c r="E285" s="20">
        <f>'2020-2022 год Приложение  4'!F470</f>
        <v>3315.1</v>
      </c>
      <c r="F285" s="20">
        <f>'2020-2022 год Приложение  4'!G470</f>
        <v>23260.1</v>
      </c>
      <c r="G285" s="20">
        <f>'2020-2022 год Приложение  4'!H470</f>
        <v>17086.4</v>
      </c>
      <c r="H285" s="20">
        <f>'2020-2022 год Приложение  4'!I470</f>
        <v>17518.6</v>
      </c>
    </row>
    <row r="286" spans="1:8" ht="47.25">
      <c r="A286" s="45" t="s">
        <v>449</v>
      </c>
      <c r="B286" s="15" t="s">
        <v>149</v>
      </c>
      <c r="C286" s="42" t="s">
        <v>8</v>
      </c>
      <c r="D286" s="20">
        <f>'2020-2022 год Приложение  4'!E471</f>
        <v>1402.6999999999998</v>
      </c>
      <c r="E286" s="20">
        <f>'2020-2022 год Приложение  4'!F471</f>
        <v>0</v>
      </c>
      <c r="F286" s="20">
        <f>'2020-2022 год Приложение  4'!G471</f>
        <v>1402.6999999999998</v>
      </c>
      <c r="G286" s="20">
        <f>'2020-2022 год Приложение  4'!H471</f>
        <v>0</v>
      </c>
      <c r="H286" s="20">
        <f>'2020-2022 год Приложение  4'!I471</f>
        <v>0</v>
      </c>
    </row>
    <row r="287" spans="1:8" ht="15.75">
      <c r="A287" s="45" t="s">
        <v>9</v>
      </c>
      <c r="B287" s="15" t="s">
        <v>149</v>
      </c>
      <c r="C287" s="42" t="s">
        <v>12</v>
      </c>
      <c r="D287" s="20">
        <f>'2020-2022 год Приложение  4'!E472</f>
        <v>26.3</v>
      </c>
      <c r="E287" s="20">
        <f>'2020-2022 год Приложение  4'!F472</f>
        <v>0</v>
      </c>
      <c r="F287" s="20">
        <f>'2020-2022 год Приложение  4'!G472</f>
        <v>26.3</v>
      </c>
      <c r="G287" s="20">
        <f>'2020-2022 год Приложение  4'!H472</f>
        <v>0</v>
      </c>
      <c r="H287" s="20">
        <f>'2020-2022 год Приложение  4'!I472</f>
        <v>0</v>
      </c>
    </row>
    <row r="288" spans="1:8" ht="15.75">
      <c r="A288" s="10" t="s">
        <v>308</v>
      </c>
      <c r="B288" s="11" t="s">
        <v>150</v>
      </c>
      <c r="C288" s="11" t="s">
        <v>0</v>
      </c>
      <c r="D288" s="12">
        <f>D289+D291+D293+D297</f>
        <v>29815.9</v>
      </c>
      <c r="E288" s="12">
        <f>E289+E291+E293+E297</f>
        <v>377.5</v>
      </c>
      <c r="F288" s="12">
        <f>F289+F291+F293+F297</f>
        <v>30193.4</v>
      </c>
      <c r="G288" s="12">
        <f>G289+G291+G293+G297</f>
        <v>26692.200000000004</v>
      </c>
      <c r="H288" s="12">
        <f>H289+H291+H293+H297</f>
        <v>27463</v>
      </c>
    </row>
    <row r="289" spans="1:8" ht="47.25">
      <c r="A289" s="16" t="s">
        <v>55</v>
      </c>
      <c r="B289" s="15" t="s">
        <v>151</v>
      </c>
      <c r="C289" s="7"/>
      <c r="D289" s="8">
        <f>D290</f>
        <v>2152.6</v>
      </c>
      <c r="E289" s="8">
        <f>E290</f>
        <v>0</v>
      </c>
      <c r="F289" s="8">
        <f>F290</f>
        <v>2152.6</v>
      </c>
      <c r="G289" s="8">
        <f>G290</f>
        <v>1200</v>
      </c>
      <c r="H289" s="8">
        <f>H290</f>
        <v>1200</v>
      </c>
    </row>
    <row r="290" spans="1:8" ht="47.25">
      <c r="A290" s="45" t="s">
        <v>449</v>
      </c>
      <c r="B290" s="15" t="s">
        <v>151</v>
      </c>
      <c r="C290" s="42" t="s">
        <v>8</v>
      </c>
      <c r="D290" s="20">
        <f>'2020-2022 год Приложение  4'!E359</f>
        <v>2152.6</v>
      </c>
      <c r="E290" s="20">
        <f>'2020-2022 год Приложение  4'!F359</f>
        <v>0</v>
      </c>
      <c r="F290" s="20">
        <f>'2020-2022 год Приложение  4'!G359</f>
        <v>2152.6</v>
      </c>
      <c r="G290" s="20">
        <f>'2020-2022 год Приложение  4'!H359</f>
        <v>1200</v>
      </c>
      <c r="H290" s="20">
        <f>'2020-2022 год Приложение  4'!I359</f>
        <v>1200</v>
      </c>
    </row>
    <row r="291" spans="1:8" ht="23.25" customHeight="1">
      <c r="A291" s="53" t="s">
        <v>17</v>
      </c>
      <c r="B291" s="15" t="s">
        <v>152</v>
      </c>
      <c r="C291" s="21"/>
      <c r="D291" s="20">
        <f>D292</f>
        <v>250</v>
      </c>
      <c r="E291" s="20">
        <f>E292</f>
        <v>0</v>
      </c>
      <c r="F291" s="20">
        <f>F292</f>
        <v>250</v>
      </c>
      <c r="G291" s="20">
        <f>G292</f>
        <v>150</v>
      </c>
      <c r="H291" s="20">
        <f>H292</f>
        <v>150</v>
      </c>
    </row>
    <row r="292" spans="1:8" ht="47.25">
      <c r="A292" s="45" t="s">
        <v>449</v>
      </c>
      <c r="B292" s="15" t="s">
        <v>152</v>
      </c>
      <c r="C292" s="42" t="s">
        <v>8</v>
      </c>
      <c r="D292" s="20">
        <f>'2020-2022 год Приложение  4'!E361</f>
        <v>250</v>
      </c>
      <c r="E292" s="20">
        <f>'2020-2022 год Приложение  4'!F361</f>
        <v>0</v>
      </c>
      <c r="F292" s="20">
        <f>'2020-2022 год Приложение  4'!G361</f>
        <v>250</v>
      </c>
      <c r="G292" s="20">
        <f>'2020-2022 год Приложение  4'!H361</f>
        <v>150</v>
      </c>
      <c r="H292" s="20">
        <f>'2020-2022 год Приложение  4'!I361</f>
        <v>150</v>
      </c>
    </row>
    <row r="293" spans="1:8" ht="31.5">
      <c r="A293" s="53" t="s">
        <v>13</v>
      </c>
      <c r="B293" s="15" t="s">
        <v>153</v>
      </c>
      <c r="C293" s="21"/>
      <c r="D293" s="20">
        <f>SUM(D294:D296)</f>
        <v>19852.100000000002</v>
      </c>
      <c r="E293" s="20">
        <f>SUM(E294:E296)</f>
        <v>2698.5</v>
      </c>
      <c r="F293" s="20">
        <f>SUM(F294:F296)</f>
        <v>22550.600000000002</v>
      </c>
      <c r="G293" s="20">
        <f>SUM(G294:G296)</f>
        <v>19329.100000000002</v>
      </c>
      <c r="H293" s="20">
        <f>SUM(H294:H296)</f>
        <v>19329.100000000002</v>
      </c>
    </row>
    <row r="294" spans="1:8" ht="63">
      <c r="A294" s="52" t="s">
        <v>14</v>
      </c>
      <c r="B294" s="15" t="s">
        <v>153</v>
      </c>
      <c r="C294" s="42" t="s">
        <v>15</v>
      </c>
      <c r="D294" s="20">
        <f>'2020-2022 год Приложение  4'!E363</f>
        <v>17883.7</v>
      </c>
      <c r="E294" s="20">
        <f>'2020-2022 год Приложение  4'!F363</f>
        <v>2448.5</v>
      </c>
      <c r="F294" s="20">
        <f>'2020-2022 год Приложение  4'!G363</f>
        <v>20332.2</v>
      </c>
      <c r="G294" s="20">
        <f>'2020-2022 год Приложение  4'!H363</f>
        <v>17683.7</v>
      </c>
      <c r="H294" s="20">
        <f>'2020-2022 год Приложение  4'!I363</f>
        <v>17683.7</v>
      </c>
    </row>
    <row r="295" spans="1:8" ht="47.25">
      <c r="A295" s="45" t="s">
        <v>449</v>
      </c>
      <c r="B295" s="15" t="s">
        <v>153</v>
      </c>
      <c r="C295" s="42" t="s">
        <v>8</v>
      </c>
      <c r="D295" s="20">
        <f>'2020-2022 год Приложение  4'!E364</f>
        <v>1953.4</v>
      </c>
      <c r="E295" s="20">
        <f>'2020-2022 год Приложение  4'!F364</f>
        <v>250</v>
      </c>
      <c r="F295" s="20">
        <f>'2020-2022 год Приложение  4'!G364</f>
        <v>2203.4</v>
      </c>
      <c r="G295" s="20">
        <f>'2020-2022 год Приложение  4'!H364</f>
        <v>1630.4</v>
      </c>
      <c r="H295" s="20">
        <f>'2020-2022 год Приложение  4'!I364</f>
        <v>1630.4</v>
      </c>
    </row>
    <row r="296" spans="1:8" ht="15.75">
      <c r="A296" s="45" t="s">
        <v>9</v>
      </c>
      <c r="B296" s="15" t="s">
        <v>153</v>
      </c>
      <c r="C296" s="42" t="s">
        <v>12</v>
      </c>
      <c r="D296" s="20">
        <f>'2020-2022 год Приложение  4'!E365</f>
        <v>15</v>
      </c>
      <c r="E296" s="20">
        <f>'2020-2022 год Приложение  4'!F365</f>
        <v>0</v>
      </c>
      <c r="F296" s="20">
        <f>'2020-2022 год Приложение  4'!G365</f>
        <v>15</v>
      </c>
      <c r="G296" s="20">
        <f>'2020-2022 год Приложение  4'!H365</f>
        <v>15</v>
      </c>
      <c r="H296" s="20">
        <f>'2020-2022 год Приложение  4'!I365</f>
        <v>15</v>
      </c>
    </row>
    <row r="297" spans="1:8" ht="15.75">
      <c r="A297" s="53" t="s">
        <v>47</v>
      </c>
      <c r="B297" s="15" t="s">
        <v>154</v>
      </c>
      <c r="C297" s="21"/>
      <c r="D297" s="20">
        <f>SUM(D298:D300)</f>
        <v>7561.2</v>
      </c>
      <c r="E297" s="20">
        <f>SUM(E298:E300)</f>
        <v>-2321</v>
      </c>
      <c r="F297" s="20">
        <f>SUM(F298:F300)</f>
        <v>5240.2</v>
      </c>
      <c r="G297" s="20">
        <f>SUM(G298:G300)</f>
        <v>6013.1</v>
      </c>
      <c r="H297" s="20">
        <f>SUM(H298:H300)</f>
        <v>6783.9</v>
      </c>
    </row>
    <row r="298" spans="1:8" ht="63">
      <c r="A298" s="44" t="s">
        <v>14</v>
      </c>
      <c r="B298" s="15" t="s">
        <v>154</v>
      </c>
      <c r="C298" s="21" t="s">
        <v>15</v>
      </c>
      <c r="D298" s="20">
        <f>'2020-2022 год Приложение  4'!E367</f>
        <v>3243.9</v>
      </c>
      <c r="E298" s="20">
        <f>'2020-2022 год Приложение  4'!F367</f>
        <v>-1227</v>
      </c>
      <c r="F298" s="20">
        <f>'2020-2022 год Приложение  4'!G367</f>
        <v>2016.9</v>
      </c>
      <c r="G298" s="20">
        <f>'2020-2022 год Приложение  4'!H367</f>
        <v>3243.9</v>
      </c>
      <c r="H298" s="20">
        <f>'2020-2022 год Приложение  4'!I367</f>
        <v>3243.9</v>
      </c>
    </row>
    <row r="299" spans="1:8" ht="47.25">
      <c r="A299" s="45" t="s">
        <v>449</v>
      </c>
      <c r="B299" s="15" t="s">
        <v>154</v>
      </c>
      <c r="C299" s="42" t="s">
        <v>8</v>
      </c>
      <c r="D299" s="20">
        <f>'2020-2022 год Приложение  4'!E368</f>
        <v>3650.6</v>
      </c>
      <c r="E299" s="20">
        <f>'2020-2022 год Приложение  4'!F368</f>
        <v>-794</v>
      </c>
      <c r="F299" s="20">
        <f>'2020-2022 год Приложение  4'!G368</f>
        <v>2856.6</v>
      </c>
      <c r="G299" s="20">
        <f>'2020-2022 год Приложение  4'!H368</f>
        <v>2069.2</v>
      </c>
      <c r="H299" s="20">
        <f>'2020-2022 год Приложение  4'!I368</f>
        <v>2840</v>
      </c>
    </row>
    <row r="300" spans="1:8" ht="15.75">
      <c r="A300" s="45" t="s">
        <v>9</v>
      </c>
      <c r="B300" s="15" t="s">
        <v>154</v>
      </c>
      <c r="C300" s="42" t="s">
        <v>12</v>
      </c>
      <c r="D300" s="20">
        <f>'2020-2022 год Приложение  4'!E369</f>
        <v>666.7</v>
      </c>
      <c r="E300" s="20">
        <f>'2020-2022 год Приложение  4'!F369</f>
        <v>-300</v>
      </c>
      <c r="F300" s="20">
        <f>'2020-2022 год Приложение  4'!G369</f>
        <v>366.70000000000005</v>
      </c>
      <c r="G300" s="20">
        <f>'2020-2022 год Приложение  4'!H369</f>
        <v>700</v>
      </c>
      <c r="H300" s="20">
        <f>'2020-2022 год Приложение  4'!I369</f>
        <v>700</v>
      </c>
    </row>
    <row r="301" spans="1:8" ht="15.75">
      <c r="A301" s="10" t="s">
        <v>309</v>
      </c>
      <c r="B301" s="11" t="s">
        <v>155</v>
      </c>
      <c r="C301" s="11" t="s">
        <v>0</v>
      </c>
      <c r="D301" s="12">
        <f>D302+D304+D309+D316+D322+D325+D328+D331+D313+D334+D319</f>
        <v>124616.8</v>
      </c>
      <c r="E301" s="12">
        <f>E302+E304+E309+E316+E322+E325+E328+E331+E313+E334+E319</f>
        <v>7810.6</v>
      </c>
      <c r="F301" s="12">
        <f>F302+F304+F309+F316+F322+F325+F328+F331+F313+F334+F319</f>
        <v>132427.39999999997</v>
      </c>
      <c r="G301" s="12">
        <f>G302+G304+G309+G316+G322+G325+G328+G331+G313+G334+G319</f>
        <v>116948.7</v>
      </c>
      <c r="H301" s="12">
        <f>H302+H304+H309+H316+H322+H325+H328+H331+H313+H334+H319</f>
        <v>120131.80000000002</v>
      </c>
    </row>
    <row r="302" spans="1:8" ht="31.5">
      <c r="A302" s="16" t="s">
        <v>19</v>
      </c>
      <c r="B302" s="15" t="s">
        <v>156</v>
      </c>
      <c r="C302" s="7"/>
      <c r="D302" s="8">
        <f>D303</f>
        <v>200</v>
      </c>
      <c r="E302" s="8">
        <f>E303</f>
        <v>0</v>
      </c>
      <c r="F302" s="8">
        <f>F303</f>
        <v>200</v>
      </c>
      <c r="G302" s="8">
        <f>G303</f>
        <v>200</v>
      </c>
      <c r="H302" s="8">
        <f>H303</f>
        <v>200</v>
      </c>
    </row>
    <row r="303" spans="1:8" ht="47.25">
      <c r="A303" s="45" t="s">
        <v>449</v>
      </c>
      <c r="B303" s="15" t="s">
        <v>156</v>
      </c>
      <c r="C303" s="27" t="s">
        <v>8</v>
      </c>
      <c r="D303" s="36">
        <f>'2020-2022 год Приложение  4'!E154</f>
        <v>200</v>
      </c>
      <c r="E303" s="36">
        <f>'2020-2022 год Приложение  4'!F154</f>
        <v>0</v>
      </c>
      <c r="F303" s="36">
        <f>'2020-2022 год Приложение  4'!G154</f>
        <v>200</v>
      </c>
      <c r="G303" s="36">
        <f>'2020-2022 год Приложение  4'!H154</f>
        <v>200</v>
      </c>
      <c r="H303" s="36">
        <f>'2020-2022 год Приложение  4'!I154</f>
        <v>200</v>
      </c>
    </row>
    <row r="304" spans="1:8" ht="31.5">
      <c r="A304" s="154" t="s">
        <v>13</v>
      </c>
      <c r="B304" s="15" t="s">
        <v>157</v>
      </c>
      <c r="C304" s="35"/>
      <c r="D304" s="36">
        <f>SUM(D305:D308)</f>
        <v>108593.00000000001</v>
      </c>
      <c r="E304" s="36">
        <f>SUM(E305:E308)</f>
        <v>5258</v>
      </c>
      <c r="F304" s="36">
        <f>SUM(F305:F308)</f>
        <v>113851</v>
      </c>
      <c r="G304" s="36">
        <f>SUM(G305:G308)</f>
        <v>102002.1</v>
      </c>
      <c r="H304" s="36">
        <f>SUM(H305:H308)</f>
        <v>104553.5</v>
      </c>
    </row>
    <row r="305" spans="1:8" ht="63">
      <c r="A305" s="62" t="s">
        <v>14</v>
      </c>
      <c r="B305" s="15" t="s">
        <v>157</v>
      </c>
      <c r="C305" s="27" t="s">
        <v>15</v>
      </c>
      <c r="D305" s="36">
        <f>'2020-2022 год Приложение  4'!E156</f>
        <v>89010.8</v>
      </c>
      <c r="E305" s="36">
        <f>'2020-2022 год Приложение  4'!F156</f>
        <v>4408.9</v>
      </c>
      <c r="F305" s="36">
        <f>'2020-2022 год Приложение  4'!G156</f>
        <v>93419.7</v>
      </c>
      <c r="G305" s="36">
        <f>'2020-2022 год Приложение  4'!H156</f>
        <v>87968.3</v>
      </c>
      <c r="H305" s="36">
        <f>'2020-2022 год Приложение  4'!I156</f>
        <v>90854.5</v>
      </c>
    </row>
    <row r="306" spans="1:8" ht="47.25">
      <c r="A306" s="45" t="s">
        <v>449</v>
      </c>
      <c r="B306" s="15" t="s">
        <v>157</v>
      </c>
      <c r="C306" s="27" t="s">
        <v>8</v>
      </c>
      <c r="D306" s="36">
        <f>'2020-2022 год Приложение  4'!E157</f>
        <v>9130.6</v>
      </c>
      <c r="E306" s="36">
        <f>'2020-2022 год Приложение  4'!F157</f>
        <v>0</v>
      </c>
      <c r="F306" s="36">
        <f>'2020-2022 год Приложение  4'!G157</f>
        <v>9130.6</v>
      </c>
      <c r="G306" s="36">
        <f>'2020-2022 год Приложение  4'!H157</f>
        <v>4640.1</v>
      </c>
      <c r="H306" s="36">
        <f>'2020-2022 год Приложение  4'!I157</f>
        <v>4305.3</v>
      </c>
    </row>
    <row r="307" spans="1:8" ht="15.75">
      <c r="A307" s="61" t="s">
        <v>66</v>
      </c>
      <c r="B307" s="15" t="s">
        <v>157</v>
      </c>
      <c r="C307" s="27" t="s">
        <v>16</v>
      </c>
      <c r="D307" s="36">
        <f>'2020-2022 год Приложение  4'!E158</f>
        <v>10122.8</v>
      </c>
      <c r="E307" s="36">
        <f>'2020-2022 год Приложение  4'!F158</f>
        <v>973</v>
      </c>
      <c r="F307" s="36">
        <f>'2020-2022 год Приложение  4'!G158</f>
        <v>11095.8</v>
      </c>
      <c r="G307" s="36">
        <f>'2020-2022 год Приложение  4'!H158</f>
        <v>9065.7</v>
      </c>
      <c r="H307" s="36">
        <f>'2020-2022 год Приложение  4'!I158</f>
        <v>9065.7</v>
      </c>
    </row>
    <row r="308" spans="1:8" ht="15.75">
      <c r="A308" s="55" t="s">
        <v>9</v>
      </c>
      <c r="B308" s="15" t="s">
        <v>157</v>
      </c>
      <c r="C308" s="27" t="s">
        <v>12</v>
      </c>
      <c r="D308" s="36">
        <f>'2020-2022 год Приложение  4'!E159</f>
        <v>328.8</v>
      </c>
      <c r="E308" s="36">
        <f>'2020-2022 год Приложение  4'!F159</f>
        <v>-123.9</v>
      </c>
      <c r="F308" s="36">
        <f>'2020-2022 год Приложение  4'!G159</f>
        <v>204.9</v>
      </c>
      <c r="G308" s="36">
        <f>'2020-2022 год Приложение  4'!H159</f>
        <v>328</v>
      </c>
      <c r="H308" s="36">
        <f>'2020-2022 год Приложение  4'!I159</f>
        <v>328</v>
      </c>
    </row>
    <row r="309" spans="1:8" ht="31.5">
      <c r="A309" s="16" t="s">
        <v>53</v>
      </c>
      <c r="B309" s="15" t="s">
        <v>158</v>
      </c>
      <c r="C309" s="7"/>
      <c r="D309" s="8">
        <f>D311+D310+D312</f>
        <v>9656.6</v>
      </c>
      <c r="E309" s="8">
        <f>E311+E310+E312</f>
        <v>758.5999999999999</v>
      </c>
      <c r="F309" s="8">
        <f>F311+F310+F312</f>
        <v>10415.2</v>
      </c>
      <c r="G309" s="8">
        <f>G311+G310+G312</f>
        <v>9656.6</v>
      </c>
      <c r="H309" s="8">
        <f>H311+H310+H312</f>
        <v>9656.6</v>
      </c>
    </row>
    <row r="310" spans="1:8" ht="63">
      <c r="A310" s="55" t="s">
        <v>14</v>
      </c>
      <c r="B310" s="15" t="s">
        <v>158</v>
      </c>
      <c r="C310" s="27" t="s">
        <v>15</v>
      </c>
      <c r="D310" s="36">
        <f>'2020-2022 год Приложение  4'!E161</f>
        <v>9095.1</v>
      </c>
      <c r="E310" s="36">
        <f>'2020-2022 год Приложение  4'!F161</f>
        <v>0</v>
      </c>
      <c r="F310" s="36">
        <f>'2020-2022 год Приложение  4'!G161</f>
        <v>9095.1</v>
      </c>
      <c r="G310" s="36">
        <f>'2020-2022 год Приложение  4'!H161</f>
        <v>9095.1</v>
      </c>
      <c r="H310" s="36">
        <f>'2020-2022 год Приложение  4'!I161</f>
        <v>9095.1</v>
      </c>
    </row>
    <row r="311" spans="1:8" ht="47.25">
      <c r="A311" s="45" t="s">
        <v>449</v>
      </c>
      <c r="B311" s="15" t="s">
        <v>158</v>
      </c>
      <c r="C311" s="27" t="s">
        <v>8</v>
      </c>
      <c r="D311" s="36">
        <f>'2020-2022 год Приложение  4'!E162</f>
        <v>500</v>
      </c>
      <c r="E311" s="36">
        <f>'2020-2022 год Приложение  4'!F162</f>
        <v>220.5999999999999</v>
      </c>
      <c r="F311" s="36">
        <f>'2020-2022 год Приложение  4'!G162</f>
        <v>720.5999999999999</v>
      </c>
      <c r="G311" s="36">
        <f>'2020-2022 год Приложение  4'!H162</f>
        <v>500</v>
      </c>
      <c r="H311" s="36">
        <f>'2020-2022 год Приложение  4'!I162</f>
        <v>500</v>
      </c>
    </row>
    <row r="312" spans="1:8" ht="15.75">
      <c r="A312" s="55" t="s">
        <v>9</v>
      </c>
      <c r="B312" s="15" t="s">
        <v>158</v>
      </c>
      <c r="C312" s="27" t="s">
        <v>12</v>
      </c>
      <c r="D312" s="36">
        <f>'2020-2022 год Приложение  4'!E163</f>
        <v>61.5</v>
      </c>
      <c r="E312" s="36">
        <f>'2020-2022 год Приложение  4'!F163</f>
        <v>538</v>
      </c>
      <c r="F312" s="36">
        <f>'2020-2022 год Приложение  4'!G163</f>
        <v>599.5</v>
      </c>
      <c r="G312" s="36">
        <f>'2020-2022 год Приложение  4'!H163</f>
        <v>61.5</v>
      </c>
      <c r="H312" s="36">
        <f>'2020-2022 год Приложение  4'!I163</f>
        <v>61.5</v>
      </c>
    </row>
    <row r="313" spans="1:8" ht="84" customHeight="1">
      <c r="A313" s="64" t="s">
        <v>250</v>
      </c>
      <c r="B313" s="27" t="s">
        <v>184</v>
      </c>
      <c r="C313" s="27"/>
      <c r="D313" s="37">
        <f>D314+D315</f>
        <v>25.1</v>
      </c>
      <c r="E313" s="37">
        <f>E314+E315</f>
        <v>0</v>
      </c>
      <c r="F313" s="37">
        <f>F314+F315</f>
        <v>25.1</v>
      </c>
      <c r="G313" s="37">
        <f>G314+G315</f>
        <v>25.700000000000003</v>
      </c>
      <c r="H313" s="37">
        <f>H314+H315</f>
        <v>26.700000000000003</v>
      </c>
    </row>
    <row r="314" spans="1:8" ht="63">
      <c r="A314" s="44" t="s">
        <v>14</v>
      </c>
      <c r="B314" s="27" t="s">
        <v>184</v>
      </c>
      <c r="C314" s="27" t="s">
        <v>15</v>
      </c>
      <c r="D314" s="37">
        <f>'2020-2022 год Приложение  4'!E165</f>
        <v>17.1</v>
      </c>
      <c r="E314" s="37">
        <f>'2020-2022 год Приложение  4'!F165</f>
        <v>0</v>
      </c>
      <c r="F314" s="37">
        <f>'2020-2022 год Приложение  4'!G165</f>
        <v>17.1</v>
      </c>
      <c r="G314" s="37">
        <f>'2020-2022 год Приложение  4'!H165</f>
        <v>17.700000000000003</v>
      </c>
      <c r="H314" s="37">
        <f>'2020-2022 год Приложение  4'!I165</f>
        <v>18.700000000000003</v>
      </c>
    </row>
    <row r="315" spans="1:8" ht="47.25">
      <c r="A315" s="45" t="s">
        <v>449</v>
      </c>
      <c r="B315" s="27" t="s">
        <v>184</v>
      </c>
      <c r="C315" s="27" t="s">
        <v>8</v>
      </c>
      <c r="D315" s="37">
        <f>'2020-2022 год Приложение  4'!E166</f>
        <v>8</v>
      </c>
      <c r="E315" s="37">
        <f>'2020-2022 год Приложение  4'!F166</f>
        <v>0</v>
      </c>
      <c r="F315" s="37">
        <f>'2020-2022 год Приложение  4'!G166</f>
        <v>8</v>
      </c>
      <c r="G315" s="37">
        <f>'2020-2022 год Приложение  4'!H166</f>
        <v>8</v>
      </c>
      <c r="H315" s="37">
        <f>'2020-2022 год Приложение  4'!I166</f>
        <v>8</v>
      </c>
    </row>
    <row r="316" spans="1:8" ht="115.5" customHeight="1">
      <c r="A316" s="38" t="s">
        <v>366</v>
      </c>
      <c r="B316" s="27" t="s">
        <v>164</v>
      </c>
      <c r="C316" s="35"/>
      <c r="D316" s="37">
        <f>D317+D318</f>
        <v>15.9</v>
      </c>
      <c r="E316" s="37">
        <f>E317+E318</f>
        <v>0</v>
      </c>
      <c r="F316" s="37">
        <f>F317+F318</f>
        <v>15.9</v>
      </c>
      <c r="G316" s="37">
        <f>G317+G318</f>
        <v>16.400000000000002</v>
      </c>
      <c r="H316" s="37">
        <f>H317+H318</f>
        <v>17</v>
      </c>
    </row>
    <row r="317" spans="1:8" ht="63">
      <c r="A317" s="63" t="s">
        <v>14</v>
      </c>
      <c r="B317" s="27" t="s">
        <v>164</v>
      </c>
      <c r="C317" s="27" t="s">
        <v>15</v>
      </c>
      <c r="D317" s="37">
        <f>'2020-2022 год Приложение  4'!E168</f>
        <v>15.6</v>
      </c>
      <c r="E317" s="37">
        <f>'2020-2022 год Приложение  4'!F168</f>
        <v>0</v>
      </c>
      <c r="F317" s="37">
        <f>'2020-2022 год Приложение  4'!G168</f>
        <v>15.6</v>
      </c>
      <c r="G317" s="37">
        <f>'2020-2022 год Приложение  4'!H168</f>
        <v>16.1</v>
      </c>
      <c r="H317" s="37">
        <f>'2020-2022 год Приложение  4'!I168</f>
        <v>16.7</v>
      </c>
    </row>
    <row r="318" spans="1:8" ht="47.25">
      <c r="A318" s="45" t="s">
        <v>449</v>
      </c>
      <c r="B318" s="27" t="s">
        <v>164</v>
      </c>
      <c r="C318" s="27" t="s">
        <v>8</v>
      </c>
      <c r="D318" s="37">
        <f>'2020-2022 год Приложение  4'!E169</f>
        <v>0.3</v>
      </c>
      <c r="E318" s="37">
        <f>'2020-2022 год Приложение  4'!F169</f>
        <v>0</v>
      </c>
      <c r="F318" s="37">
        <f>'2020-2022 год Приложение  4'!G169</f>
        <v>0.3</v>
      </c>
      <c r="G318" s="37">
        <f>'2020-2022 год Приложение  4'!H169</f>
        <v>0.3</v>
      </c>
      <c r="H318" s="37">
        <f>'2020-2022 год Приложение  4'!I169</f>
        <v>0.3</v>
      </c>
    </row>
    <row r="319" spans="1:8" ht="63">
      <c r="A319" s="22" t="s">
        <v>364</v>
      </c>
      <c r="B319" s="27" t="s">
        <v>365</v>
      </c>
      <c r="C319" s="42"/>
      <c r="D319" s="37">
        <f>D320+D321</f>
        <v>63.5</v>
      </c>
      <c r="E319" s="37">
        <f>E320+E321</f>
        <v>0</v>
      </c>
      <c r="F319" s="37">
        <f>F320+F321</f>
        <v>63.5</v>
      </c>
      <c r="G319" s="37">
        <f>G320+G321</f>
        <v>65.60000000000001</v>
      </c>
      <c r="H319" s="37">
        <f>H320+H321</f>
        <v>68.10000000000001</v>
      </c>
    </row>
    <row r="320" spans="1:8" ht="63">
      <c r="A320" s="22" t="s">
        <v>14</v>
      </c>
      <c r="B320" s="27" t="s">
        <v>365</v>
      </c>
      <c r="C320" s="42" t="s">
        <v>15</v>
      </c>
      <c r="D320" s="37">
        <f>'2020-2022 год Приложение  4'!E171</f>
        <v>62.3</v>
      </c>
      <c r="E320" s="37">
        <f>'2020-2022 год Приложение  4'!F171</f>
        <v>0</v>
      </c>
      <c r="F320" s="37">
        <f>'2020-2022 год Приложение  4'!G171</f>
        <v>62.3</v>
      </c>
      <c r="G320" s="37">
        <f>'2020-2022 год Приложение  4'!H171</f>
        <v>64.4</v>
      </c>
      <c r="H320" s="37">
        <f>'2020-2022 год Приложение  4'!I171</f>
        <v>66.9</v>
      </c>
    </row>
    <row r="321" spans="1:8" ht="47.25">
      <c r="A321" s="45" t="s">
        <v>449</v>
      </c>
      <c r="B321" s="27" t="s">
        <v>365</v>
      </c>
      <c r="C321" s="42" t="s">
        <v>8</v>
      </c>
      <c r="D321" s="37">
        <f>'2020-2022 год Приложение  4'!E172</f>
        <v>1.2</v>
      </c>
      <c r="E321" s="37">
        <f>'2020-2022 год Приложение  4'!F172</f>
        <v>0</v>
      </c>
      <c r="F321" s="37">
        <f>'2020-2022 год Приложение  4'!G172</f>
        <v>1.2</v>
      </c>
      <c r="G321" s="37">
        <f>'2020-2022 год Приложение  4'!H172</f>
        <v>1.2</v>
      </c>
      <c r="H321" s="37">
        <f>'2020-2022 год Приложение  4'!I172</f>
        <v>1.2</v>
      </c>
    </row>
    <row r="322" spans="1:8" ht="63">
      <c r="A322" s="39" t="s">
        <v>220</v>
      </c>
      <c r="B322" s="27" t="s">
        <v>165</v>
      </c>
      <c r="C322" s="35"/>
      <c r="D322" s="37">
        <f>D323+D324</f>
        <v>82.9</v>
      </c>
      <c r="E322" s="37">
        <f>E323+E324</f>
        <v>0</v>
      </c>
      <c r="F322" s="37">
        <f>F323+F324</f>
        <v>82.9</v>
      </c>
      <c r="G322" s="37">
        <f>G323+G324</f>
        <v>85.4</v>
      </c>
      <c r="H322" s="37">
        <f>H323+H324</f>
        <v>88.6</v>
      </c>
    </row>
    <row r="323" spans="1:8" ht="63">
      <c r="A323" s="63" t="s">
        <v>14</v>
      </c>
      <c r="B323" s="27" t="s">
        <v>165</v>
      </c>
      <c r="C323" s="27" t="s">
        <v>15</v>
      </c>
      <c r="D323" s="37">
        <f>'2020-2022 год Приложение  4'!E174</f>
        <v>77.9</v>
      </c>
      <c r="E323" s="37">
        <f>'2020-2022 год Приложение  4'!F174</f>
        <v>0</v>
      </c>
      <c r="F323" s="37">
        <f>'2020-2022 год Приложение  4'!G174</f>
        <v>77.9</v>
      </c>
      <c r="G323" s="37">
        <f>'2020-2022 год Приложение  4'!H174</f>
        <v>80.4</v>
      </c>
      <c r="H323" s="37">
        <f>'2020-2022 год Приложение  4'!I174</f>
        <v>83.6</v>
      </c>
    </row>
    <row r="324" spans="1:8" ht="47.25">
      <c r="A324" s="45" t="s">
        <v>449</v>
      </c>
      <c r="B324" s="27" t="s">
        <v>165</v>
      </c>
      <c r="C324" s="27" t="s">
        <v>8</v>
      </c>
      <c r="D324" s="37">
        <f>'2020-2022 год Приложение  4'!E175</f>
        <v>5</v>
      </c>
      <c r="E324" s="37">
        <f>'2020-2022 год Приложение  4'!F175</f>
        <v>0</v>
      </c>
      <c r="F324" s="37">
        <f>'2020-2022 год Приложение  4'!G175</f>
        <v>5</v>
      </c>
      <c r="G324" s="37">
        <f>'2020-2022 год Приложение  4'!H175</f>
        <v>5</v>
      </c>
      <c r="H324" s="37">
        <f>'2020-2022 год Приложение  4'!I175</f>
        <v>5</v>
      </c>
    </row>
    <row r="325" spans="1:8" ht="69.75" customHeight="1">
      <c r="A325" s="102" t="s">
        <v>245</v>
      </c>
      <c r="B325" s="42" t="s">
        <v>166</v>
      </c>
      <c r="C325" s="35"/>
      <c r="D325" s="36">
        <f>D326+D327</f>
        <v>892.9</v>
      </c>
      <c r="E325" s="36">
        <f>E326+E327</f>
        <v>0</v>
      </c>
      <c r="F325" s="36">
        <f>F326+F327</f>
        <v>892.9</v>
      </c>
      <c r="G325" s="36">
        <f>G326+G327</f>
        <v>921.5</v>
      </c>
      <c r="H325" s="36">
        <f>H326+H327</f>
        <v>957.5999999999999</v>
      </c>
    </row>
    <row r="326" spans="1:8" ht="63">
      <c r="A326" s="63" t="s">
        <v>14</v>
      </c>
      <c r="B326" s="42" t="s">
        <v>166</v>
      </c>
      <c r="C326" s="27" t="s">
        <v>15</v>
      </c>
      <c r="D326" s="36">
        <f>'2020-2022 год Приложение  4'!E177</f>
        <v>876.1</v>
      </c>
      <c r="E326" s="36">
        <f>'2020-2022 год Приложение  4'!F177</f>
        <v>0</v>
      </c>
      <c r="F326" s="36">
        <f>'2020-2022 год Приложение  4'!G177</f>
        <v>876.1</v>
      </c>
      <c r="G326" s="36">
        <f>'2020-2022 год Приложение  4'!H177</f>
        <v>904.6</v>
      </c>
      <c r="H326" s="36">
        <f>'2020-2022 год Приложение  4'!I177</f>
        <v>940.8</v>
      </c>
    </row>
    <row r="327" spans="1:8" ht="47.25">
      <c r="A327" s="45" t="s">
        <v>449</v>
      </c>
      <c r="B327" s="42" t="s">
        <v>166</v>
      </c>
      <c r="C327" s="27" t="s">
        <v>8</v>
      </c>
      <c r="D327" s="36">
        <f>'2020-2022 год Приложение  4'!E178</f>
        <v>16.8</v>
      </c>
      <c r="E327" s="36">
        <f>'2020-2022 год Приложение  4'!F178</f>
        <v>0</v>
      </c>
      <c r="F327" s="36">
        <f>'2020-2022 год Приложение  4'!G178</f>
        <v>16.8</v>
      </c>
      <c r="G327" s="36">
        <f>'2020-2022 год Приложение  4'!H178</f>
        <v>16.9</v>
      </c>
      <c r="H327" s="36">
        <f>'2020-2022 год Приложение  4'!I178</f>
        <v>16.8</v>
      </c>
    </row>
    <row r="328" spans="1:8" ht="78.75">
      <c r="A328" s="23" t="s">
        <v>460</v>
      </c>
      <c r="B328" s="27" t="s">
        <v>167</v>
      </c>
      <c r="C328" s="35"/>
      <c r="D328" s="37">
        <f>D329+D330</f>
        <v>82.9</v>
      </c>
      <c r="E328" s="37">
        <f>E329+E330</f>
        <v>0</v>
      </c>
      <c r="F328" s="37">
        <f>F329+F330</f>
        <v>82.9</v>
      </c>
      <c r="G328" s="37">
        <f>G329+G330</f>
        <v>85.4</v>
      </c>
      <c r="H328" s="37">
        <f>H329+H330</f>
        <v>88.7</v>
      </c>
    </row>
    <row r="329" spans="1:8" ht="63">
      <c r="A329" s="63" t="s">
        <v>14</v>
      </c>
      <c r="B329" s="27" t="s">
        <v>167</v>
      </c>
      <c r="C329" s="27" t="s">
        <v>15</v>
      </c>
      <c r="D329" s="36">
        <f>'2020-2022 год Приложение  4'!E180</f>
        <v>77.9</v>
      </c>
      <c r="E329" s="36">
        <f>'2020-2022 год Приложение  4'!F180</f>
        <v>0</v>
      </c>
      <c r="F329" s="36">
        <f>'2020-2022 год Приложение  4'!G180</f>
        <v>77.9</v>
      </c>
      <c r="G329" s="36">
        <f>'2020-2022 год Приложение  4'!H180</f>
        <v>80.4</v>
      </c>
      <c r="H329" s="36">
        <f>'2020-2022 год Приложение  4'!I180</f>
        <v>83.7</v>
      </c>
    </row>
    <row r="330" spans="1:8" ht="47.25">
      <c r="A330" s="45" t="s">
        <v>449</v>
      </c>
      <c r="B330" s="27" t="s">
        <v>167</v>
      </c>
      <c r="C330" s="27" t="s">
        <v>8</v>
      </c>
      <c r="D330" s="36">
        <f>'2020-2022 год Приложение  4'!E181</f>
        <v>5</v>
      </c>
      <c r="E330" s="36">
        <f>'2020-2022 год Приложение  4'!F181</f>
        <v>0</v>
      </c>
      <c r="F330" s="36">
        <f>'2020-2022 год Приложение  4'!G181</f>
        <v>5</v>
      </c>
      <c r="G330" s="36">
        <f>'2020-2022 год Приложение  4'!H181</f>
        <v>5</v>
      </c>
      <c r="H330" s="36">
        <f>'2020-2022 год Приложение  4'!I181</f>
        <v>5</v>
      </c>
    </row>
    <row r="331" spans="1:8" ht="15.75">
      <c r="A331" s="45" t="s">
        <v>47</v>
      </c>
      <c r="B331" s="15" t="s">
        <v>159</v>
      </c>
      <c r="C331" s="42"/>
      <c r="D331" s="8">
        <f>D332+D333</f>
        <v>2214</v>
      </c>
      <c r="E331" s="8">
        <f>E332+E333</f>
        <v>0</v>
      </c>
      <c r="F331" s="8">
        <f>F332+F333</f>
        <v>2214</v>
      </c>
      <c r="G331" s="8">
        <f>G332+G333</f>
        <v>1100</v>
      </c>
      <c r="H331" s="8">
        <f>H332+H333</f>
        <v>1685</v>
      </c>
    </row>
    <row r="332" spans="1:8" ht="47.25">
      <c r="A332" s="45" t="s">
        <v>449</v>
      </c>
      <c r="B332" s="15" t="s">
        <v>159</v>
      </c>
      <c r="C332" s="27" t="s">
        <v>8</v>
      </c>
      <c r="D332" s="36">
        <f>'2020-2022 год Приложение  4'!E183</f>
        <v>2014</v>
      </c>
      <c r="E332" s="36">
        <f>'2020-2022 год Приложение  4'!F183</f>
        <v>0</v>
      </c>
      <c r="F332" s="36">
        <f>'2020-2022 год Приложение  4'!G183</f>
        <v>2014</v>
      </c>
      <c r="G332" s="36">
        <f>'2020-2022 год Приложение  4'!H183</f>
        <v>900</v>
      </c>
      <c r="H332" s="36">
        <f>'2020-2022 год Приложение  4'!I183</f>
        <v>1485</v>
      </c>
    </row>
    <row r="333" spans="1:8" ht="15.75">
      <c r="A333" s="45" t="s">
        <v>9</v>
      </c>
      <c r="B333" s="15" t="s">
        <v>159</v>
      </c>
      <c r="C333" s="27" t="s">
        <v>12</v>
      </c>
      <c r="D333" s="36">
        <f>'2020-2022 год Приложение  4'!E184</f>
        <v>200</v>
      </c>
      <c r="E333" s="36">
        <f>'2020-2022 год Приложение  4'!F184</f>
        <v>0</v>
      </c>
      <c r="F333" s="36">
        <f>'2020-2022 год Приложение  4'!G184</f>
        <v>200</v>
      </c>
      <c r="G333" s="36">
        <f>'2020-2022 год Приложение  4'!H184</f>
        <v>200</v>
      </c>
      <c r="H333" s="36">
        <f>'2020-2022 год Приложение  4'!I184</f>
        <v>200</v>
      </c>
    </row>
    <row r="334" spans="1:8" ht="31.5">
      <c r="A334" s="45" t="s">
        <v>256</v>
      </c>
      <c r="B334" s="42" t="s">
        <v>254</v>
      </c>
      <c r="C334" s="42"/>
      <c r="D334" s="36">
        <f>D335</f>
        <v>2790</v>
      </c>
      <c r="E334" s="36">
        <f>E335</f>
        <v>1794</v>
      </c>
      <c r="F334" s="36">
        <f>F335</f>
        <v>4584</v>
      </c>
      <c r="G334" s="36">
        <f>G335</f>
        <v>2790</v>
      </c>
      <c r="H334" s="36">
        <f>H335</f>
        <v>2790</v>
      </c>
    </row>
    <row r="335" spans="1:8" ht="31.5">
      <c r="A335" s="22" t="s">
        <v>10</v>
      </c>
      <c r="B335" s="42" t="s">
        <v>254</v>
      </c>
      <c r="C335" s="42" t="s">
        <v>11</v>
      </c>
      <c r="D335" s="36">
        <f>'2020-2022 год Приложение  4'!E186</f>
        <v>2790</v>
      </c>
      <c r="E335" s="36">
        <f>'2020-2022 год Приложение  4'!F186</f>
        <v>1794</v>
      </c>
      <c r="F335" s="36">
        <f>'2020-2022 год Приложение  4'!G186</f>
        <v>4584</v>
      </c>
      <c r="G335" s="36">
        <f>'2020-2022 год Приложение  4'!H186</f>
        <v>2790</v>
      </c>
      <c r="H335" s="36">
        <f>'2020-2022 год Приложение  4'!I186</f>
        <v>2790</v>
      </c>
    </row>
    <row r="336" spans="1:8" ht="15.75">
      <c r="A336" s="10" t="s">
        <v>68</v>
      </c>
      <c r="B336" s="11" t="s">
        <v>160</v>
      </c>
      <c r="C336" s="11" t="s">
        <v>0</v>
      </c>
      <c r="D336" s="12">
        <f>D337+D341+D345+D343+D339+D347</f>
        <v>2899.4</v>
      </c>
      <c r="E336" s="12">
        <f>E337+E341+E345+E343+E339+E347</f>
        <v>1.4210854715202004E-14</v>
      </c>
      <c r="F336" s="12">
        <f>F337+F341+F345+F343+F339+F347</f>
        <v>2899.4</v>
      </c>
      <c r="G336" s="12">
        <f>G337+G341+G345+G343+G339+G347</f>
        <v>1758.4</v>
      </c>
      <c r="H336" s="12">
        <f>H337+H341+H345+H343+H339+H347</f>
        <v>1758.4</v>
      </c>
    </row>
    <row r="337" spans="1:8" ht="31.5">
      <c r="A337" s="16" t="s">
        <v>20</v>
      </c>
      <c r="B337" s="15" t="s">
        <v>161</v>
      </c>
      <c r="C337" s="7"/>
      <c r="D337" s="8">
        <f>D338</f>
        <v>50</v>
      </c>
      <c r="E337" s="8">
        <f>E338</f>
        <v>-4.2</v>
      </c>
      <c r="F337" s="8">
        <f>F338</f>
        <v>45.8</v>
      </c>
      <c r="G337" s="8">
        <f>G338</f>
        <v>50</v>
      </c>
      <c r="H337" s="8">
        <f>H338</f>
        <v>50</v>
      </c>
    </row>
    <row r="338" spans="1:8" ht="47.25">
      <c r="A338" s="45" t="s">
        <v>449</v>
      </c>
      <c r="B338" s="15" t="s">
        <v>161</v>
      </c>
      <c r="C338" s="27" t="s">
        <v>8</v>
      </c>
      <c r="D338" s="36">
        <f>'2020-2022 год Приложение  4'!E189</f>
        <v>50</v>
      </c>
      <c r="E338" s="36">
        <f>'2020-2022 год Приложение  4'!F189</f>
        <v>-4.2</v>
      </c>
      <c r="F338" s="36">
        <f>'2020-2022 год Приложение  4'!G189</f>
        <v>45.8</v>
      </c>
      <c r="G338" s="36">
        <f>'2020-2022 год Приложение  4'!H189</f>
        <v>50</v>
      </c>
      <c r="H338" s="36">
        <f>'2020-2022 год Приложение  4'!I189</f>
        <v>50</v>
      </c>
    </row>
    <row r="339" spans="1:8" ht="37.5" customHeight="1">
      <c r="A339" s="45" t="s">
        <v>213</v>
      </c>
      <c r="B339" s="15" t="s">
        <v>214</v>
      </c>
      <c r="C339" s="7"/>
      <c r="D339" s="36">
        <f>D340</f>
        <v>110</v>
      </c>
      <c r="E339" s="36" t="str">
        <f>E340</f>
        <v>-78,3</v>
      </c>
      <c r="F339" s="36">
        <f>F340</f>
        <v>31.700000000000003</v>
      </c>
      <c r="G339" s="36">
        <f>G340</f>
        <v>110</v>
      </c>
      <c r="H339" s="36">
        <f>H340</f>
        <v>110</v>
      </c>
    </row>
    <row r="340" spans="1:8" ht="47.25">
      <c r="A340" s="45" t="s">
        <v>449</v>
      </c>
      <c r="B340" s="15" t="s">
        <v>214</v>
      </c>
      <c r="C340" s="42" t="s">
        <v>8</v>
      </c>
      <c r="D340" s="36">
        <f>'2020-2022 год Приложение  4'!E191</f>
        <v>110</v>
      </c>
      <c r="E340" s="36" t="str">
        <f>'2020-2022 год Приложение  4'!F191</f>
        <v>-78,3</v>
      </c>
      <c r="F340" s="36">
        <f>'2020-2022 год Приложение  4'!G191</f>
        <v>31.700000000000003</v>
      </c>
      <c r="G340" s="36">
        <f>'2020-2022 год Приложение  4'!H191</f>
        <v>110</v>
      </c>
      <c r="H340" s="36">
        <f>'2020-2022 год Приложение  4'!I191</f>
        <v>110</v>
      </c>
    </row>
    <row r="341" spans="1:8" ht="63">
      <c r="A341" s="16" t="s">
        <v>21</v>
      </c>
      <c r="B341" s="15" t="s">
        <v>162</v>
      </c>
      <c r="C341" s="7"/>
      <c r="D341" s="8">
        <f>D342</f>
        <v>2121</v>
      </c>
      <c r="E341" s="8">
        <f>E342</f>
        <v>242.3</v>
      </c>
      <c r="F341" s="8">
        <f>F342</f>
        <v>2363.3</v>
      </c>
      <c r="G341" s="8">
        <f>G342</f>
        <v>980</v>
      </c>
      <c r="H341" s="8">
        <f>H342</f>
        <v>980</v>
      </c>
    </row>
    <row r="342" spans="1:8" ht="47.25">
      <c r="A342" s="45" t="s">
        <v>449</v>
      </c>
      <c r="B342" s="15" t="s">
        <v>162</v>
      </c>
      <c r="C342" s="27" t="s">
        <v>8</v>
      </c>
      <c r="D342" s="36">
        <f>'2020-2022 год Приложение  4'!E193</f>
        <v>2121</v>
      </c>
      <c r="E342" s="36">
        <f>'2020-2022 год Приложение  4'!F193</f>
        <v>242.3</v>
      </c>
      <c r="F342" s="36">
        <f>'2020-2022 год Приложение  4'!G193</f>
        <v>2363.3</v>
      </c>
      <c r="G342" s="36">
        <f>'2020-2022 год Приложение  4'!H193</f>
        <v>980</v>
      </c>
      <c r="H342" s="36">
        <f>'2020-2022 год Приложение  4'!I193</f>
        <v>980</v>
      </c>
    </row>
    <row r="343" spans="1:8" ht="31.5">
      <c r="A343" s="45" t="s">
        <v>188</v>
      </c>
      <c r="B343" s="15" t="s">
        <v>187</v>
      </c>
      <c r="C343" s="35"/>
      <c r="D343" s="36">
        <f>'2020-2022 год Приложение  4'!E194</f>
        <v>265</v>
      </c>
      <c r="E343" s="36">
        <f>'2020-2022 год Приложение  4'!F194</f>
        <v>-146</v>
      </c>
      <c r="F343" s="36">
        <f>'2020-2022 год Приложение  4'!G194</f>
        <v>119</v>
      </c>
      <c r="G343" s="36">
        <f>'2020-2022 год Приложение  4'!H194</f>
        <v>265</v>
      </c>
      <c r="H343" s="36">
        <f>'2020-2022 год Приложение  4'!I194</f>
        <v>265</v>
      </c>
    </row>
    <row r="344" spans="1:8" ht="47.25">
      <c r="A344" s="45" t="s">
        <v>449</v>
      </c>
      <c r="B344" s="15" t="s">
        <v>187</v>
      </c>
      <c r="C344" s="27" t="s">
        <v>8</v>
      </c>
      <c r="D344" s="36">
        <f>'2020-2022 год Приложение  4'!E195</f>
        <v>265</v>
      </c>
      <c r="E344" s="36">
        <f>'2020-2022 год Приложение  4'!F195</f>
        <v>-146</v>
      </c>
      <c r="F344" s="36">
        <f>'2020-2022 год Приложение  4'!G195</f>
        <v>119</v>
      </c>
      <c r="G344" s="36">
        <f>'2020-2022 год Приложение  4'!H195</f>
        <v>265</v>
      </c>
      <c r="H344" s="36">
        <f>'2020-2022 год Приложение  4'!I195</f>
        <v>265</v>
      </c>
    </row>
    <row r="345" spans="1:8" ht="15.75">
      <c r="A345" s="64" t="s">
        <v>59</v>
      </c>
      <c r="B345" s="15" t="s">
        <v>163</v>
      </c>
      <c r="C345" s="35"/>
      <c r="D345" s="36">
        <f>'2020-2022 год Приложение  4'!E196</f>
        <v>150</v>
      </c>
      <c r="E345" s="36" t="str">
        <f>'2020-2022 год Приложение  4'!F196</f>
        <v>-13,8</v>
      </c>
      <c r="F345" s="36">
        <f>'2020-2022 год Приложение  4'!G196</f>
        <v>136.2</v>
      </c>
      <c r="G345" s="36">
        <f>'2020-2022 год Приложение  4'!H196</f>
        <v>150</v>
      </c>
      <c r="H345" s="36">
        <f>'2020-2022 год Приложение  4'!I196</f>
        <v>150</v>
      </c>
    </row>
    <row r="346" spans="1:8" ht="47.25">
      <c r="A346" s="45" t="s">
        <v>449</v>
      </c>
      <c r="B346" s="15" t="s">
        <v>163</v>
      </c>
      <c r="C346" s="27" t="s">
        <v>8</v>
      </c>
      <c r="D346" s="36">
        <f>'2020-2022 год Приложение  4'!E197</f>
        <v>150</v>
      </c>
      <c r="E346" s="36" t="str">
        <f>'2020-2022 год Приложение  4'!F197</f>
        <v>-13,8</v>
      </c>
      <c r="F346" s="36">
        <f>'2020-2022 год Приложение  4'!G197</f>
        <v>136.2</v>
      </c>
      <c r="G346" s="36">
        <f>'2020-2022 год Приложение  4'!H197</f>
        <v>150</v>
      </c>
      <c r="H346" s="36">
        <f>'2020-2022 год Приложение  4'!I197</f>
        <v>150</v>
      </c>
    </row>
    <row r="347" spans="1:8" ht="69" customHeight="1">
      <c r="A347" s="45" t="s">
        <v>277</v>
      </c>
      <c r="B347" s="15" t="s">
        <v>278</v>
      </c>
      <c r="C347" s="42"/>
      <c r="D347" s="36">
        <f>'2020-2022 год Приложение  4'!E198</f>
        <v>203.4</v>
      </c>
      <c r="E347" s="36">
        <f>'2020-2022 год Приложение  4'!F198</f>
        <v>0</v>
      </c>
      <c r="F347" s="36">
        <f>'2020-2022 год Приложение  4'!G198</f>
        <v>203.4</v>
      </c>
      <c r="G347" s="36">
        <f>'2020-2022 год Приложение  4'!H198</f>
        <v>203.4</v>
      </c>
      <c r="H347" s="36">
        <f>'2020-2022 год Приложение  4'!I198</f>
        <v>203.4</v>
      </c>
    </row>
    <row r="348" spans="1:8" ht="47.25">
      <c r="A348" s="45" t="s">
        <v>449</v>
      </c>
      <c r="B348" s="15" t="s">
        <v>278</v>
      </c>
      <c r="C348" s="42" t="s">
        <v>8</v>
      </c>
      <c r="D348" s="36">
        <f>'2020-2022 год Приложение  4'!E199</f>
        <v>203.4</v>
      </c>
      <c r="E348" s="36">
        <f>'2020-2022 год Приложение  4'!F199</f>
        <v>0</v>
      </c>
      <c r="F348" s="36">
        <f>'2020-2022 год Приложение  4'!G199</f>
        <v>203.4</v>
      </c>
      <c r="G348" s="36">
        <f>'2020-2022 год Приложение  4'!H199</f>
        <v>203.4</v>
      </c>
      <c r="H348" s="36">
        <f>'2020-2022 год Приложение  4'!I199</f>
        <v>203.4</v>
      </c>
    </row>
    <row r="349" spans="1:8" ht="31.5">
      <c r="A349" s="29" t="s">
        <v>310</v>
      </c>
      <c r="B349" s="30" t="s">
        <v>128</v>
      </c>
      <c r="C349" s="30" t="s">
        <v>0</v>
      </c>
      <c r="D349" s="31">
        <f>D350+D353+D362+D365</f>
        <v>20647</v>
      </c>
      <c r="E349" s="31">
        <f>E350+E353+E362+E365</f>
        <v>1474.7</v>
      </c>
      <c r="F349" s="31">
        <f>F350+F353+F362+F365</f>
        <v>22121.7</v>
      </c>
      <c r="G349" s="31">
        <f>G350+G353+G362+G365</f>
        <v>19604.6</v>
      </c>
      <c r="H349" s="31">
        <f>H350+H353+H362+H365</f>
        <v>18699.1</v>
      </c>
    </row>
    <row r="350" spans="1:8" ht="15.75">
      <c r="A350" s="10" t="s">
        <v>311</v>
      </c>
      <c r="B350" s="11" t="s">
        <v>280</v>
      </c>
      <c r="C350" s="11" t="s">
        <v>0</v>
      </c>
      <c r="D350" s="12">
        <f aca="true" t="shared" si="3" ref="D350:H351">D351</f>
        <v>1100.3</v>
      </c>
      <c r="E350" s="12">
        <f t="shared" si="3"/>
        <v>0</v>
      </c>
      <c r="F350" s="12">
        <f t="shared" si="3"/>
        <v>1100.3</v>
      </c>
      <c r="G350" s="12">
        <f t="shared" si="3"/>
        <v>0</v>
      </c>
      <c r="H350" s="12">
        <f t="shared" si="3"/>
        <v>0</v>
      </c>
    </row>
    <row r="351" spans="1:8" ht="15.75">
      <c r="A351" s="14" t="s">
        <v>279</v>
      </c>
      <c r="B351" s="35" t="s">
        <v>336</v>
      </c>
      <c r="C351" s="9"/>
      <c r="D351" s="20">
        <f t="shared" si="3"/>
        <v>1100.3</v>
      </c>
      <c r="E351" s="20">
        <f t="shared" si="3"/>
        <v>0</v>
      </c>
      <c r="F351" s="20">
        <f t="shared" si="3"/>
        <v>1100.3</v>
      </c>
      <c r="G351" s="20">
        <f t="shared" si="3"/>
        <v>0</v>
      </c>
      <c r="H351" s="20">
        <f t="shared" si="3"/>
        <v>0</v>
      </c>
    </row>
    <row r="352" spans="1:8" ht="47.25">
      <c r="A352" s="45" t="s">
        <v>449</v>
      </c>
      <c r="B352" s="35" t="s">
        <v>336</v>
      </c>
      <c r="C352" s="42" t="s">
        <v>8</v>
      </c>
      <c r="D352" s="36">
        <f>'2020-2022 год Приложение  4'!E203</f>
        <v>1100.3</v>
      </c>
      <c r="E352" s="36">
        <f>'2020-2022 год Приложение  4'!F203</f>
        <v>0</v>
      </c>
      <c r="F352" s="36">
        <f>D352+E352</f>
        <v>1100.3</v>
      </c>
      <c r="G352" s="36">
        <f>'2020-2022 год Приложение  4'!H203</f>
        <v>0</v>
      </c>
      <c r="H352" s="36">
        <f>'2020-2022 год Приложение  4'!I203</f>
        <v>0</v>
      </c>
    </row>
    <row r="353" spans="1:8" ht="47.25">
      <c r="A353" s="10" t="s">
        <v>320</v>
      </c>
      <c r="B353" s="11" t="s">
        <v>138</v>
      </c>
      <c r="C353" s="11" t="s">
        <v>0</v>
      </c>
      <c r="D353" s="12">
        <f>D354+D356+D360</f>
        <v>19008</v>
      </c>
      <c r="E353" s="12">
        <f>E354+E356+E360</f>
        <v>1554.7</v>
      </c>
      <c r="F353" s="12">
        <f>F354+F356+F360</f>
        <v>20562.7</v>
      </c>
      <c r="G353" s="12">
        <f>G354+G356+G360</f>
        <v>18845.899999999998</v>
      </c>
      <c r="H353" s="12">
        <f>H354+H356+H360</f>
        <v>17940.399999999998</v>
      </c>
    </row>
    <row r="354" spans="1:8" ht="15.75">
      <c r="A354" s="14" t="s">
        <v>33</v>
      </c>
      <c r="B354" s="35" t="s">
        <v>139</v>
      </c>
      <c r="C354" s="9"/>
      <c r="D354" s="20">
        <f>D355</f>
        <v>91.8</v>
      </c>
      <c r="E354" s="20">
        <f>E355</f>
        <v>0</v>
      </c>
      <c r="F354" s="20">
        <f>F355</f>
        <v>91.8</v>
      </c>
      <c r="G354" s="20">
        <f>G355</f>
        <v>91.8</v>
      </c>
      <c r="H354" s="20">
        <f>H355</f>
        <v>91.8</v>
      </c>
    </row>
    <row r="355" spans="1:8" ht="47.25">
      <c r="A355" s="45" t="s">
        <v>449</v>
      </c>
      <c r="B355" s="35" t="s">
        <v>139</v>
      </c>
      <c r="C355" s="27" t="s">
        <v>8</v>
      </c>
      <c r="D355" s="36">
        <f>'2020-2022 год Приложение  4'!E206</f>
        <v>91.8</v>
      </c>
      <c r="E355" s="36">
        <f>'2020-2022 год Приложение  4'!F206</f>
        <v>0</v>
      </c>
      <c r="F355" s="36">
        <f>'2020-2022 год Приложение  4'!G206</f>
        <v>91.8</v>
      </c>
      <c r="G355" s="36">
        <f>'2020-2022 год Приложение  4'!H206</f>
        <v>91.8</v>
      </c>
      <c r="H355" s="36">
        <f>'2020-2022 год Приложение  4'!I206</f>
        <v>91.8</v>
      </c>
    </row>
    <row r="356" spans="1:8" ht="15.75">
      <c r="A356" s="41" t="s">
        <v>61</v>
      </c>
      <c r="B356" s="35" t="s">
        <v>337</v>
      </c>
      <c r="C356" s="65"/>
      <c r="D356" s="36">
        <f>D358+D357+D359</f>
        <v>18916.2</v>
      </c>
      <c r="E356" s="36">
        <f>E358+E357+E359</f>
        <v>1554.7</v>
      </c>
      <c r="F356" s="36">
        <f>F358+F357+F359</f>
        <v>20470.9</v>
      </c>
      <c r="G356" s="36">
        <f>G358+G357+G359</f>
        <v>17794.1</v>
      </c>
      <c r="H356" s="36">
        <f>H358+H357+H359</f>
        <v>17848.6</v>
      </c>
    </row>
    <row r="357" spans="1:8" ht="63">
      <c r="A357" s="61" t="s">
        <v>14</v>
      </c>
      <c r="B357" s="35" t="s">
        <v>337</v>
      </c>
      <c r="C357" s="27" t="s">
        <v>15</v>
      </c>
      <c r="D357" s="36">
        <f>'2020-2022 год Приложение  4'!E208</f>
        <v>16736.5</v>
      </c>
      <c r="E357" s="36">
        <f>'2020-2022 год Приложение  4'!F208</f>
        <v>1554.7</v>
      </c>
      <c r="F357" s="36">
        <f>'2020-2022 год Приложение  4'!G208</f>
        <v>18291.2</v>
      </c>
      <c r="G357" s="36">
        <f>'2020-2022 год Приложение  4'!H208</f>
        <v>16720.1</v>
      </c>
      <c r="H357" s="36">
        <f>'2020-2022 год Приложение  4'!I208</f>
        <v>16720.1</v>
      </c>
    </row>
    <row r="358" spans="1:8" ht="47.25">
      <c r="A358" s="45" t="s">
        <v>449</v>
      </c>
      <c r="B358" s="35" t="s">
        <v>337</v>
      </c>
      <c r="C358" s="27" t="s">
        <v>8</v>
      </c>
      <c r="D358" s="36">
        <f>'2020-2022 год Приложение  4'!E209</f>
        <v>2128.8</v>
      </c>
      <c r="E358" s="36">
        <f>'2020-2022 год Приложение  4'!F209</f>
        <v>0</v>
      </c>
      <c r="F358" s="36">
        <f>'2020-2022 год Приложение  4'!G209</f>
        <v>2128.8</v>
      </c>
      <c r="G358" s="36">
        <f>'2020-2022 год Приложение  4'!H209</f>
        <v>1038.1</v>
      </c>
      <c r="H358" s="36">
        <f>'2020-2022 год Приложение  4'!I209</f>
        <v>1092.6</v>
      </c>
    </row>
    <row r="359" spans="1:8" ht="15.75">
      <c r="A359" s="41" t="s">
        <v>9</v>
      </c>
      <c r="B359" s="35" t="s">
        <v>338</v>
      </c>
      <c r="C359" s="27" t="s">
        <v>12</v>
      </c>
      <c r="D359" s="36">
        <f>'2020-2022 год Приложение  4'!E210</f>
        <v>50.9</v>
      </c>
      <c r="E359" s="36">
        <f>'2020-2022 год Приложение  4'!F210</f>
        <v>0</v>
      </c>
      <c r="F359" s="36">
        <f>'2020-2022 год Приложение  4'!G210</f>
        <v>50.9</v>
      </c>
      <c r="G359" s="36">
        <f>'2020-2022 год Приложение  4'!H210</f>
        <v>35.9</v>
      </c>
      <c r="H359" s="36">
        <f>'2020-2022 год Приложение  4'!I210</f>
        <v>35.9</v>
      </c>
    </row>
    <row r="360" spans="1:8" ht="31.5">
      <c r="A360" s="45" t="s">
        <v>476</v>
      </c>
      <c r="B360" s="35" t="s">
        <v>475</v>
      </c>
      <c r="C360" s="42"/>
      <c r="D360" s="36">
        <f>D361</f>
        <v>0</v>
      </c>
      <c r="E360" s="36">
        <f>E361</f>
        <v>0</v>
      </c>
      <c r="F360" s="36">
        <f>F361</f>
        <v>0</v>
      </c>
      <c r="G360" s="36">
        <f>G361</f>
        <v>960</v>
      </c>
      <c r="H360" s="36">
        <f>H361</f>
        <v>0</v>
      </c>
    </row>
    <row r="361" spans="1:8" ht="47.25">
      <c r="A361" s="45" t="s">
        <v>449</v>
      </c>
      <c r="B361" s="35" t="s">
        <v>475</v>
      </c>
      <c r="C361" s="42" t="s">
        <v>8</v>
      </c>
      <c r="D361" s="36">
        <f>'2020-2022 год Приложение  4'!E212</f>
        <v>0</v>
      </c>
      <c r="E361" s="36">
        <f>'2020-2022 год Приложение  4'!F212</f>
        <v>0</v>
      </c>
      <c r="F361" s="36">
        <f>E361+D361</f>
        <v>0</v>
      </c>
      <c r="G361" s="36">
        <f>'2020-2022 год Приложение  4'!H212</f>
        <v>960</v>
      </c>
      <c r="H361" s="36">
        <f>'2020-2022 год Приложение  4'!I212</f>
        <v>0</v>
      </c>
    </row>
    <row r="362" spans="1:8" ht="15.75">
      <c r="A362" s="24" t="s">
        <v>312</v>
      </c>
      <c r="B362" s="11" t="s">
        <v>127</v>
      </c>
      <c r="C362" s="11"/>
      <c r="D362" s="12">
        <f aca="true" t="shared" si="4" ref="D362:H363">D363</f>
        <v>458.7</v>
      </c>
      <c r="E362" s="12">
        <f t="shared" si="4"/>
        <v>0</v>
      </c>
      <c r="F362" s="12">
        <f t="shared" si="4"/>
        <v>458.7</v>
      </c>
      <c r="G362" s="12">
        <f t="shared" si="4"/>
        <v>608.7</v>
      </c>
      <c r="H362" s="12">
        <f t="shared" si="4"/>
        <v>608.7</v>
      </c>
    </row>
    <row r="363" spans="1:8" ht="31.5">
      <c r="A363" s="22" t="s">
        <v>34</v>
      </c>
      <c r="B363" s="35" t="s">
        <v>140</v>
      </c>
      <c r="C363" s="21"/>
      <c r="D363" s="20">
        <f t="shared" si="4"/>
        <v>458.7</v>
      </c>
      <c r="E363" s="20">
        <f t="shared" si="4"/>
        <v>0</v>
      </c>
      <c r="F363" s="20">
        <f t="shared" si="4"/>
        <v>458.7</v>
      </c>
      <c r="G363" s="20">
        <f t="shared" si="4"/>
        <v>608.7</v>
      </c>
      <c r="H363" s="20">
        <f t="shared" si="4"/>
        <v>608.7</v>
      </c>
    </row>
    <row r="364" spans="1:8" ht="47.25">
      <c r="A364" s="45" t="s">
        <v>449</v>
      </c>
      <c r="B364" s="35" t="s">
        <v>140</v>
      </c>
      <c r="C364" s="35" t="s">
        <v>8</v>
      </c>
      <c r="D364" s="36">
        <f>'2020-2022 год Приложение  4'!E215</f>
        <v>458.7</v>
      </c>
      <c r="E364" s="36">
        <f>'2020-2022 год Приложение  4'!F215</f>
        <v>0</v>
      </c>
      <c r="F364" s="36">
        <f>'2020-2022 год Приложение  4'!G215</f>
        <v>458.7</v>
      </c>
      <c r="G364" s="36">
        <f>'2020-2022 год Приложение  4'!H215</f>
        <v>608.7</v>
      </c>
      <c r="H364" s="36">
        <f>'2020-2022 год Приложение  4'!I215</f>
        <v>608.7</v>
      </c>
    </row>
    <row r="365" spans="1:8" ht="15.75">
      <c r="A365" s="24" t="s">
        <v>88</v>
      </c>
      <c r="B365" s="11" t="s">
        <v>141</v>
      </c>
      <c r="C365" s="11"/>
      <c r="D365" s="12">
        <f>D368+D366+D370</f>
        <v>80</v>
      </c>
      <c r="E365" s="12">
        <f>E368+E366+E370</f>
        <v>-80</v>
      </c>
      <c r="F365" s="12">
        <f>F368+F366+F370</f>
        <v>0</v>
      </c>
      <c r="G365" s="12">
        <f>G368+G366+G370</f>
        <v>150</v>
      </c>
      <c r="H365" s="12">
        <f>H368+H366+H370</f>
        <v>150</v>
      </c>
    </row>
    <row r="366" spans="1:8" ht="63">
      <c r="A366" s="40" t="s">
        <v>89</v>
      </c>
      <c r="B366" s="35" t="s">
        <v>142</v>
      </c>
      <c r="C366" s="21"/>
      <c r="D366" s="36">
        <f>'2020-2022 год Приложение  4'!E217</f>
        <v>40</v>
      </c>
      <c r="E366" s="36">
        <f>'2020-2022 год Приложение  4'!F217</f>
        <v>-40</v>
      </c>
      <c r="F366" s="36">
        <f>'2020-2022 год Приложение  4'!G217</f>
        <v>0</v>
      </c>
      <c r="G366" s="36">
        <f>'2020-2022 год Приложение  4'!H217</f>
        <v>40</v>
      </c>
      <c r="H366" s="36">
        <f>'2020-2022 год Приложение  4'!I217</f>
        <v>40</v>
      </c>
    </row>
    <row r="367" spans="1:8" ht="47.25">
      <c r="A367" s="45" t="s">
        <v>449</v>
      </c>
      <c r="B367" s="35" t="s">
        <v>142</v>
      </c>
      <c r="C367" s="21" t="s">
        <v>8</v>
      </c>
      <c r="D367" s="36">
        <f>'2020-2022 год Приложение  4'!E218</f>
        <v>40</v>
      </c>
      <c r="E367" s="36">
        <f>'2020-2022 год Приложение  4'!F218</f>
        <v>-40</v>
      </c>
      <c r="F367" s="36">
        <f>'2020-2022 год Приложение  4'!G218</f>
        <v>0</v>
      </c>
      <c r="G367" s="36">
        <f>'2020-2022 год Приложение  4'!H218</f>
        <v>40</v>
      </c>
      <c r="H367" s="36">
        <f>'2020-2022 год Приложение  4'!I218</f>
        <v>40</v>
      </c>
    </row>
    <row r="368" spans="1:8" ht="47.25">
      <c r="A368" s="40" t="s">
        <v>448</v>
      </c>
      <c r="B368" s="35" t="s">
        <v>143</v>
      </c>
      <c r="C368" s="21"/>
      <c r="D368" s="36">
        <f>'2020-2022 год Приложение  4'!E219</f>
        <v>0</v>
      </c>
      <c r="E368" s="36" t="str">
        <f>'2020-2022 год Приложение  4'!F219</f>
        <v>0</v>
      </c>
      <c r="F368" s="36">
        <f>'2020-2022 год Приложение  4'!G219</f>
        <v>0</v>
      </c>
      <c r="G368" s="36">
        <f>'2020-2022 год Приложение  4'!H219</f>
        <v>70</v>
      </c>
      <c r="H368" s="36">
        <f>'2020-2022 год Приложение  4'!I219</f>
        <v>70</v>
      </c>
    </row>
    <row r="369" spans="1:8" ht="47.25">
      <c r="A369" s="45" t="s">
        <v>449</v>
      </c>
      <c r="B369" s="35" t="s">
        <v>143</v>
      </c>
      <c r="C369" s="21" t="s">
        <v>8</v>
      </c>
      <c r="D369" s="36">
        <f>'2020-2022 год Приложение  4'!E220</f>
        <v>0</v>
      </c>
      <c r="E369" s="36" t="str">
        <f>'2020-2022 год Приложение  4'!F220</f>
        <v>0</v>
      </c>
      <c r="F369" s="36">
        <f>'2020-2022 год Приложение  4'!G220</f>
        <v>0</v>
      </c>
      <c r="G369" s="36">
        <f>'2020-2022 год Приложение  4'!H220</f>
        <v>70</v>
      </c>
      <c r="H369" s="36">
        <f>'2020-2022 год Приложение  4'!I220</f>
        <v>70</v>
      </c>
    </row>
    <row r="370" spans="1:8" ht="47.25">
      <c r="A370" s="40" t="s">
        <v>90</v>
      </c>
      <c r="B370" s="35" t="s">
        <v>144</v>
      </c>
      <c r="C370" s="21"/>
      <c r="D370" s="36">
        <f>'2020-2022 год Приложение  4'!E221</f>
        <v>40</v>
      </c>
      <c r="E370" s="36">
        <f>'2020-2022 год Приложение  4'!F221</f>
        <v>-40</v>
      </c>
      <c r="F370" s="36">
        <f>'2020-2022 год Приложение  4'!G221</f>
        <v>0</v>
      </c>
      <c r="G370" s="36">
        <f>'2020-2022 год Приложение  4'!H221</f>
        <v>40</v>
      </c>
      <c r="H370" s="36">
        <f>'2020-2022 год Приложение  4'!I221</f>
        <v>40</v>
      </c>
    </row>
    <row r="371" spans="1:8" ht="47.25">
      <c r="A371" s="45" t="s">
        <v>449</v>
      </c>
      <c r="B371" s="35" t="s">
        <v>144</v>
      </c>
      <c r="C371" s="21" t="s">
        <v>8</v>
      </c>
      <c r="D371" s="36">
        <f>'2020-2022 год Приложение  4'!E222</f>
        <v>40</v>
      </c>
      <c r="E371" s="36">
        <f>'2020-2022 год Приложение  4'!F222</f>
        <v>-40</v>
      </c>
      <c r="F371" s="36">
        <f>'2020-2022 год Приложение  4'!G222</f>
        <v>0</v>
      </c>
      <c r="G371" s="36">
        <f>'2020-2022 год Приложение  4'!H222</f>
        <v>40</v>
      </c>
      <c r="H371" s="36">
        <f>'2020-2022 год Приложение  4'!I222</f>
        <v>40</v>
      </c>
    </row>
    <row r="372" spans="1:8" ht="15.75">
      <c r="A372" s="29" t="s">
        <v>313</v>
      </c>
      <c r="B372" s="30" t="s">
        <v>168</v>
      </c>
      <c r="C372" s="30" t="s">
        <v>0</v>
      </c>
      <c r="D372" s="31">
        <f>D373+D376+D389</f>
        <v>28950.2</v>
      </c>
      <c r="E372" s="31">
        <f>E373+E376+E389</f>
        <v>160.9</v>
      </c>
      <c r="F372" s="31">
        <f>F373+F376+F389</f>
        <v>29111.1</v>
      </c>
      <c r="G372" s="31">
        <f>G373+G376+G389</f>
        <v>20653.9</v>
      </c>
      <c r="H372" s="31">
        <f>H373+H376+H389</f>
        <v>20552.8</v>
      </c>
    </row>
    <row r="373" spans="1:8" ht="15.75">
      <c r="A373" s="10" t="s">
        <v>314</v>
      </c>
      <c r="B373" s="11" t="s">
        <v>169</v>
      </c>
      <c r="C373" s="11" t="s">
        <v>0</v>
      </c>
      <c r="D373" s="12">
        <f aca="true" t="shared" si="5" ref="D373:H374">D374</f>
        <v>120</v>
      </c>
      <c r="E373" s="12">
        <f t="shared" si="5"/>
        <v>0</v>
      </c>
      <c r="F373" s="12">
        <f t="shared" si="5"/>
        <v>120</v>
      </c>
      <c r="G373" s="12">
        <f t="shared" si="5"/>
        <v>120</v>
      </c>
      <c r="H373" s="12">
        <f t="shared" si="5"/>
        <v>120</v>
      </c>
    </row>
    <row r="374" spans="1:8" ht="15.75">
      <c r="A374" s="41" t="s">
        <v>54</v>
      </c>
      <c r="B374" s="27" t="s">
        <v>328</v>
      </c>
      <c r="C374" s="27"/>
      <c r="D374" s="37">
        <f t="shared" si="5"/>
        <v>120</v>
      </c>
      <c r="E374" s="37">
        <f t="shared" si="5"/>
        <v>0</v>
      </c>
      <c r="F374" s="37">
        <f t="shared" si="5"/>
        <v>120</v>
      </c>
      <c r="G374" s="37">
        <f t="shared" si="5"/>
        <v>120</v>
      </c>
      <c r="H374" s="37">
        <f t="shared" si="5"/>
        <v>120</v>
      </c>
    </row>
    <row r="375" spans="1:8" ht="63">
      <c r="A375" s="61" t="s">
        <v>14</v>
      </c>
      <c r="B375" s="27" t="s">
        <v>328</v>
      </c>
      <c r="C375" s="27" t="s">
        <v>15</v>
      </c>
      <c r="D375" s="37">
        <f>'2020-2022 год Приложение  4'!E226</f>
        <v>120</v>
      </c>
      <c r="E375" s="37">
        <f>'2020-2022 год Приложение  4'!F226</f>
        <v>0</v>
      </c>
      <c r="F375" s="37">
        <f>'2020-2022 год Приложение  4'!G226</f>
        <v>120</v>
      </c>
      <c r="G375" s="37">
        <f>'2020-2022 год Приложение  4'!H226</f>
        <v>120</v>
      </c>
      <c r="H375" s="37">
        <f>'2020-2022 год Приложение  4'!I226</f>
        <v>120</v>
      </c>
    </row>
    <row r="376" spans="1:8" ht="31.5">
      <c r="A376" s="10" t="s">
        <v>315</v>
      </c>
      <c r="B376" s="11" t="s">
        <v>129</v>
      </c>
      <c r="C376" s="11" t="s">
        <v>0</v>
      </c>
      <c r="D376" s="12">
        <f>D377+D385+D379+D387+D383+D381</f>
        <v>28650.2</v>
      </c>
      <c r="E376" s="12">
        <f>E377+E385+E379+E387+E383+E381</f>
        <v>160.9</v>
      </c>
      <c r="F376" s="12">
        <f>F377+F385+F379+F387+F383+F381</f>
        <v>28811.1</v>
      </c>
      <c r="G376" s="12">
        <f>G377+G385+G379+G387+G383+G381</f>
        <v>20433.9</v>
      </c>
      <c r="H376" s="12">
        <f>H377+H385+H379+H387+H383+H381</f>
        <v>20332.8</v>
      </c>
    </row>
    <row r="377" spans="1:8" ht="63">
      <c r="A377" s="14" t="s">
        <v>35</v>
      </c>
      <c r="B377" s="15" t="s">
        <v>170</v>
      </c>
      <c r="C377" s="15"/>
      <c r="D377" s="17">
        <f>D378</f>
        <v>887.5</v>
      </c>
      <c r="E377" s="17">
        <f>E378</f>
        <v>160.9</v>
      </c>
      <c r="F377" s="17">
        <f>F378</f>
        <v>1048.4</v>
      </c>
      <c r="G377" s="17">
        <f>G378</f>
        <v>744.9</v>
      </c>
      <c r="H377" s="17">
        <f>H378</f>
        <v>643.8</v>
      </c>
    </row>
    <row r="378" spans="1:8" ht="15.75">
      <c r="A378" s="41" t="s">
        <v>27</v>
      </c>
      <c r="B378" s="15" t="s">
        <v>170</v>
      </c>
      <c r="C378" s="27" t="s">
        <v>16</v>
      </c>
      <c r="D378" s="37">
        <f>'2020-2022 год Приложение  4'!E458</f>
        <v>887.5</v>
      </c>
      <c r="E378" s="37">
        <f>'2020-2022 год Приложение  4'!F458</f>
        <v>160.9</v>
      </c>
      <c r="F378" s="37">
        <f>'2020-2022 год Приложение  4'!G458</f>
        <v>1048.4</v>
      </c>
      <c r="G378" s="37">
        <f>'2020-2022 год Приложение  4'!H458</f>
        <v>744.9</v>
      </c>
      <c r="H378" s="37">
        <f>'2020-2022 год Приложение  4'!I458</f>
        <v>643.8</v>
      </c>
    </row>
    <row r="379" spans="1:8" ht="105.75" customHeight="1">
      <c r="A379" s="95" t="s">
        <v>64</v>
      </c>
      <c r="B379" s="15" t="s">
        <v>201</v>
      </c>
      <c r="C379" s="27"/>
      <c r="D379" s="37">
        <f>D380</f>
        <v>4926.1</v>
      </c>
      <c r="E379" s="37">
        <f>E380</f>
        <v>0</v>
      </c>
      <c r="F379" s="37">
        <f>F380</f>
        <v>4926.1</v>
      </c>
      <c r="G379" s="37">
        <f>G380</f>
        <v>16351</v>
      </c>
      <c r="H379" s="37">
        <f>H380</f>
        <v>16351</v>
      </c>
    </row>
    <row r="380" spans="1:8" ht="31.5">
      <c r="A380" s="41" t="s">
        <v>29</v>
      </c>
      <c r="B380" s="15" t="s">
        <v>201</v>
      </c>
      <c r="C380" s="27" t="s">
        <v>24</v>
      </c>
      <c r="D380" s="37">
        <f>'2020-2022 год Приложение  4'!E229</f>
        <v>4926.1</v>
      </c>
      <c r="E380" s="37">
        <f>'2020-2022 год Приложение  4'!F229</f>
        <v>0</v>
      </c>
      <c r="F380" s="37">
        <f>'2020-2022 год Приложение  4'!G229</f>
        <v>4926.1</v>
      </c>
      <c r="G380" s="37">
        <f>'2020-2022 год Приложение  4'!H229</f>
        <v>16351</v>
      </c>
      <c r="H380" s="37">
        <f>'2020-2022 год Приложение  4'!I229</f>
        <v>16351</v>
      </c>
    </row>
    <row r="381" spans="1:8" ht="94.5">
      <c r="A381" s="94" t="s">
        <v>64</v>
      </c>
      <c r="B381" s="15" t="s">
        <v>381</v>
      </c>
      <c r="C381" s="92"/>
      <c r="D381" s="37">
        <f>D382</f>
        <v>13241.7</v>
      </c>
      <c r="E381" s="37">
        <f>E382</f>
        <v>0</v>
      </c>
      <c r="F381" s="37">
        <f>F382</f>
        <v>13241.7</v>
      </c>
      <c r="G381" s="37">
        <f>G382</f>
        <v>0</v>
      </c>
      <c r="H381" s="37">
        <f>H382</f>
        <v>0</v>
      </c>
    </row>
    <row r="382" spans="1:8" ht="31.5">
      <c r="A382" s="91" t="s">
        <v>29</v>
      </c>
      <c r="B382" s="15" t="s">
        <v>381</v>
      </c>
      <c r="C382" s="92" t="s">
        <v>24</v>
      </c>
      <c r="D382" s="37">
        <f>'2020-2022 год Приложение  4'!E231</f>
        <v>13241.7</v>
      </c>
      <c r="E382" s="37">
        <f>'2020-2022 год Приложение  4'!F231</f>
        <v>0</v>
      </c>
      <c r="F382" s="37">
        <f>'2020-2022 год Приложение  4'!G231</f>
        <v>13241.7</v>
      </c>
      <c r="G382" s="37">
        <f>'2020-2022 год Приложение  4'!H231</f>
        <v>0</v>
      </c>
      <c r="H382" s="37">
        <f>'2020-2022 год Приложение  4'!I231</f>
        <v>0</v>
      </c>
    </row>
    <row r="383" spans="1:8" ht="31.5">
      <c r="A383" s="61" t="s">
        <v>226</v>
      </c>
      <c r="B383" s="15" t="s">
        <v>252</v>
      </c>
      <c r="C383" s="42"/>
      <c r="D383" s="37">
        <f>D384</f>
        <v>1669</v>
      </c>
      <c r="E383" s="37">
        <f>E384</f>
        <v>0</v>
      </c>
      <c r="F383" s="37">
        <f>F384</f>
        <v>1669</v>
      </c>
      <c r="G383" s="37">
        <f>G384</f>
        <v>1669</v>
      </c>
      <c r="H383" s="37">
        <f>H384</f>
        <v>1669</v>
      </c>
    </row>
    <row r="384" spans="1:8" ht="15.75">
      <c r="A384" s="40" t="s">
        <v>27</v>
      </c>
      <c r="B384" s="15" t="s">
        <v>252</v>
      </c>
      <c r="C384" s="42" t="s">
        <v>16</v>
      </c>
      <c r="D384" s="37">
        <f>'2020-2022 год Приложение  4'!E233</f>
        <v>1669</v>
      </c>
      <c r="E384" s="37">
        <f>'2020-2022 год Приложение  4'!F233</f>
        <v>0</v>
      </c>
      <c r="F384" s="37">
        <f>'2020-2022 год Приложение  4'!G233</f>
        <v>1669</v>
      </c>
      <c r="G384" s="37">
        <f>'2020-2022 год Приложение  4'!H233</f>
        <v>1669</v>
      </c>
      <c r="H384" s="37">
        <f>'2020-2022 год Приложение  4'!I233</f>
        <v>1669</v>
      </c>
    </row>
    <row r="385" spans="1:8" ht="47.25">
      <c r="A385" s="61" t="s">
        <v>225</v>
      </c>
      <c r="B385" s="15" t="s">
        <v>251</v>
      </c>
      <c r="C385" s="42"/>
      <c r="D385" s="37">
        <f>D386</f>
        <v>1669</v>
      </c>
      <c r="E385" s="37">
        <f>E386</f>
        <v>0</v>
      </c>
      <c r="F385" s="37">
        <f>F386</f>
        <v>1669</v>
      </c>
      <c r="G385" s="37">
        <f>G386</f>
        <v>1669</v>
      </c>
      <c r="H385" s="37">
        <f>H386</f>
        <v>1669</v>
      </c>
    </row>
    <row r="386" spans="1:8" ht="15.75">
      <c r="A386" s="41" t="s">
        <v>27</v>
      </c>
      <c r="B386" s="15" t="s">
        <v>251</v>
      </c>
      <c r="C386" s="42" t="s">
        <v>16</v>
      </c>
      <c r="D386" s="37">
        <f>'2020-2022 год Приложение  4'!E235</f>
        <v>1669</v>
      </c>
      <c r="E386" s="37">
        <f>'2020-2022 год Приложение  4'!F235</f>
        <v>0</v>
      </c>
      <c r="F386" s="37">
        <f>'2020-2022 год Приложение  4'!G235</f>
        <v>1669</v>
      </c>
      <c r="G386" s="37">
        <f>'2020-2022 год Приложение  4'!H235</f>
        <v>1669</v>
      </c>
      <c r="H386" s="37">
        <f>'2020-2022 год Приложение  4'!I235</f>
        <v>1669</v>
      </c>
    </row>
    <row r="387" spans="1:8" ht="54.75" customHeight="1">
      <c r="A387" s="40" t="s">
        <v>199</v>
      </c>
      <c r="B387" s="15" t="s">
        <v>221</v>
      </c>
      <c r="C387" s="42"/>
      <c r="D387" s="37">
        <f>D388</f>
        <v>6256.9</v>
      </c>
      <c r="E387" s="37">
        <f>E388</f>
        <v>0</v>
      </c>
      <c r="F387" s="37">
        <f>F388</f>
        <v>6256.9</v>
      </c>
      <c r="G387" s="37">
        <f>G388</f>
        <v>0</v>
      </c>
      <c r="H387" s="37">
        <f>H388</f>
        <v>0</v>
      </c>
    </row>
    <row r="388" spans="1:8" ht="15.75">
      <c r="A388" s="40" t="s">
        <v>27</v>
      </c>
      <c r="B388" s="15" t="s">
        <v>221</v>
      </c>
      <c r="C388" s="42" t="s">
        <v>16</v>
      </c>
      <c r="D388" s="37">
        <f>'2020-2022 год Приложение  4'!E237</f>
        <v>6256.9</v>
      </c>
      <c r="E388" s="37">
        <f>'2020-2022 год Приложение  4'!F237</f>
        <v>0</v>
      </c>
      <c r="F388" s="37">
        <f>'2020-2022 год Приложение  4'!G237</f>
        <v>6256.9</v>
      </c>
      <c r="G388" s="37">
        <f>'2020-2022 год Приложение  4'!H237</f>
        <v>0</v>
      </c>
      <c r="H388" s="37">
        <f>'2020-2022 год Приложение  4'!I237</f>
        <v>0</v>
      </c>
    </row>
    <row r="389" spans="1:8" ht="31.5">
      <c r="A389" s="10" t="s">
        <v>316</v>
      </c>
      <c r="B389" s="11" t="s">
        <v>171</v>
      </c>
      <c r="C389" s="11" t="s">
        <v>0</v>
      </c>
      <c r="D389" s="12">
        <f>D390+D392</f>
        <v>180</v>
      </c>
      <c r="E389" s="12">
        <f>E390+E392</f>
        <v>0</v>
      </c>
      <c r="F389" s="12">
        <f>F390+F392</f>
        <v>180</v>
      </c>
      <c r="G389" s="12">
        <f>G390+G392</f>
        <v>100</v>
      </c>
      <c r="H389" s="12">
        <f>H390+H392</f>
        <v>100</v>
      </c>
    </row>
    <row r="390" spans="1:8" ht="31.5">
      <c r="A390" s="14" t="s">
        <v>36</v>
      </c>
      <c r="B390" s="15" t="s">
        <v>172</v>
      </c>
      <c r="C390" s="15"/>
      <c r="D390" s="17">
        <f>D391</f>
        <v>80</v>
      </c>
      <c r="E390" s="17">
        <f>E391</f>
        <v>0</v>
      </c>
      <c r="F390" s="17">
        <f>F391</f>
        <v>80</v>
      </c>
      <c r="G390" s="17">
        <f>G391</f>
        <v>80</v>
      </c>
      <c r="H390" s="17">
        <f>H391</f>
        <v>80</v>
      </c>
    </row>
    <row r="391" spans="1:8" ht="31.5">
      <c r="A391" s="61" t="s">
        <v>10</v>
      </c>
      <c r="B391" s="15" t="s">
        <v>172</v>
      </c>
      <c r="C391" s="27" t="s">
        <v>11</v>
      </c>
      <c r="D391" s="37">
        <f>'2020-2022 год Приложение  4'!E240</f>
        <v>80</v>
      </c>
      <c r="E391" s="37">
        <f>'2020-2022 год Приложение  4'!F240</f>
        <v>0</v>
      </c>
      <c r="F391" s="37">
        <f>'2020-2022 год Приложение  4'!G240</f>
        <v>80</v>
      </c>
      <c r="G391" s="37">
        <f>'2020-2022 год Приложение  4'!H240</f>
        <v>80</v>
      </c>
      <c r="H391" s="37">
        <f>'2020-2022 год Приложение  4'!I240</f>
        <v>80</v>
      </c>
    </row>
    <row r="392" spans="1:8" ht="47.25">
      <c r="A392" s="14" t="s">
        <v>200</v>
      </c>
      <c r="B392" s="15" t="s">
        <v>195</v>
      </c>
      <c r="C392" s="15"/>
      <c r="D392" s="17">
        <f>D393</f>
        <v>100</v>
      </c>
      <c r="E392" s="17">
        <f>E393</f>
        <v>0</v>
      </c>
      <c r="F392" s="17">
        <f>F393</f>
        <v>100</v>
      </c>
      <c r="G392" s="17">
        <f>G393</f>
        <v>20</v>
      </c>
      <c r="H392" s="17">
        <f>H393</f>
        <v>20</v>
      </c>
    </row>
    <row r="393" spans="1:8" ht="31.5">
      <c r="A393" s="22" t="s">
        <v>10</v>
      </c>
      <c r="B393" s="15" t="s">
        <v>195</v>
      </c>
      <c r="C393" s="42" t="s">
        <v>11</v>
      </c>
      <c r="D393" s="37">
        <f>'2020-2022 год Приложение  4'!E242</f>
        <v>100</v>
      </c>
      <c r="E393" s="37">
        <f>'2020-2022 год Приложение  4'!F242</f>
        <v>0</v>
      </c>
      <c r="F393" s="37">
        <f>'2020-2022 год Приложение  4'!G242</f>
        <v>100</v>
      </c>
      <c r="G393" s="37">
        <f>'2020-2022 год Приложение  4'!H242</f>
        <v>20</v>
      </c>
      <c r="H393" s="37">
        <f>'2020-2022 год Приложение  4'!I242</f>
        <v>20</v>
      </c>
    </row>
    <row r="394" spans="1:8" ht="15.75">
      <c r="A394" s="32" t="s">
        <v>30</v>
      </c>
      <c r="B394" s="33" t="s">
        <v>96</v>
      </c>
      <c r="C394" s="33" t="s">
        <v>0</v>
      </c>
      <c r="D394" s="34">
        <f>D395+D397+D401+D407+D435+D439+D441+D443+D445+D447+D457+D449+D437+D461+D431+D451+D453+D433+D429+D459+D411+D413+D415+D417+D419+D421+D423+D405+D427+D455+D425</f>
        <v>108993.90000000004</v>
      </c>
      <c r="E394" s="34">
        <f>E395+E397+E401+E407+E435+E439+E441+E443+E445+E447+E457+E449+E437+E461+E431+E451+E453+E433+E429+E459+E411+E413+E415+E417+E419+E421+E423+E405+E427+E455+E425</f>
        <v>14551.399999999998</v>
      </c>
      <c r="F394" s="34">
        <f>F395+F397+F401+F407+F435+F439+F441+F443+F445+F447+F457+F449+F437+F461+F431+F451+F453+F433+F429+F459+F411+F413+F415+F417+F419+F421+F423+F405+F427+F455+F425</f>
        <v>123545.3</v>
      </c>
      <c r="G394" s="34">
        <f>G395+G397+G401+G407+G435+G439+G441+G443+G445+G447+G457+G449+G437+G461+G431+G451+G453+G433+G429+G459+G411+G413+G415+G417+G419+G421+G423+G405+G427+G455+G425</f>
        <v>52745.3</v>
      </c>
      <c r="H394" s="34">
        <f>H395+H397+H401+H407+H435+H439+H441+H443+H445+H447+H457+H449+H437+H461+H431+H451+H453+H433+H429+H459+H411+H413+H415+H417+H419+H421+H423+H405+H427+H455+H425</f>
        <v>60848.1</v>
      </c>
    </row>
    <row r="395" spans="1:8" ht="31.5">
      <c r="A395" s="23" t="s">
        <v>193</v>
      </c>
      <c r="B395" s="42" t="s">
        <v>105</v>
      </c>
      <c r="C395" s="21"/>
      <c r="D395" s="43">
        <f>D396</f>
        <v>1367.8</v>
      </c>
      <c r="E395" s="43">
        <f>E396</f>
        <v>353.4</v>
      </c>
      <c r="F395" s="43">
        <f>F396</f>
        <v>1721.1999999999998</v>
      </c>
      <c r="G395" s="43">
        <f>G396</f>
        <v>1335</v>
      </c>
      <c r="H395" s="43">
        <f>H396</f>
        <v>1367.8</v>
      </c>
    </row>
    <row r="396" spans="1:8" ht="63">
      <c r="A396" s="44" t="s">
        <v>14</v>
      </c>
      <c r="B396" s="42" t="s">
        <v>105</v>
      </c>
      <c r="C396" s="21" t="s">
        <v>15</v>
      </c>
      <c r="D396" s="43">
        <f>'2020-2022 год Приложение  4'!E20</f>
        <v>1367.8</v>
      </c>
      <c r="E396" s="43">
        <f>'2020-2022 год Приложение  4'!F20</f>
        <v>353.4</v>
      </c>
      <c r="F396" s="43">
        <f>'2020-2022 год Приложение  4'!G20</f>
        <v>1721.1999999999998</v>
      </c>
      <c r="G396" s="43">
        <f>'2020-2022 год Приложение  4'!H20</f>
        <v>1335</v>
      </c>
      <c r="H396" s="43">
        <f>'2020-2022 год Приложение  4'!I20</f>
        <v>1367.8</v>
      </c>
    </row>
    <row r="397" spans="1:8" ht="31.5">
      <c r="A397" s="44" t="s">
        <v>31</v>
      </c>
      <c r="B397" s="42" t="s">
        <v>106</v>
      </c>
      <c r="C397" s="42" t="s">
        <v>0</v>
      </c>
      <c r="D397" s="43">
        <f>D399+D400+D398</f>
        <v>327.2</v>
      </c>
      <c r="E397" s="43">
        <f>E399+E400+E398</f>
        <v>70</v>
      </c>
      <c r="F397" s="43">
        <f>F399+F400+F398</f>
        <v>397.2</v>
      </c>
      <c r="G397" s="43">
        <f>G399+G400+G398</f>
        <v>304.3</v>
      </c>
      <c r="H397" s="43">
        <f>H399+H400+H398</f>
        <v>312.2</v>
      </c>
    </row>
    <row r="398" spans="1:8" ht="63">
      <c r="A398" s="52" t="s">
        <v>14</v>
      </c>
      <c r="B398" s="42" t="s">
        <v>106</v>
      </c>
      <c r="C398" s="42" t="s">
        <v>15</v>
      </c>
      <c r="D398" s="43">
        <f>'2020-2022 год Приложение  4'!E22</f>
        <v>1.5</v>
      </c>
      <c r="E398" s="43">
        <f>'2020-2022 год Приложение  4'!F22</f>
        <v>0</v>
      </c>
      <c r="F398" s="43">
        <f>D398+E398</f>
        <v>1.5</v>
      </c>
      <c r="G398" s="43">
        <f>'2020-2022 год Приложение  4'!H22</f>
        <v>0</v>
      </c>
      <c r="H398" s="43">
        <f>'2020-2022 год Приложение  4'!I22</f>
        <v>0</v>
      </c>
    </row>
    <row r="399" spans="1:8" ht="47.25">
      <c r="A399" s="45" t="s">
        <v>449</v>
      </c>
      <c r="B399" s="42" t="s">
        <v>106</v>
      </c>
      <c r="C399" s="42" t="s">
        <v>8</v>
      </c>
      <c r="D399" s="43">
        <f>'2020-2022 год Приложение  4'!E23</f>
        <v>322.5</v>
      </c>
      <c r="E399" s="43">
        <f>'2020-2022 год Приложение  4'!F23</f>
        <v>70</v>
      </c>
      <c r="F399" s="43">
        <f>'2020-2022 год Приложение  4'!G23</f>
        <v>392.5</v>
      </c>
      <c r="G399" s="43">
        <f>'2020-2022 год Приложение  4'!H23</f>
        <v>301</v>
      </c>
      <c r="H399" s="43">
        <f>'2020-2022 год Приложение  4'!I23</f>
        <v>309</v>
      </c>
    </row>
    <row r="400" spans="1:8" ht="15.75">
      <c r="A400" s="45" t="s">
        <v>9</v>
      </c>
      <c r="B400" s="42" t="s">
        <v>106</v>
      </c>
      <c r="C400" s="42" t="s">
        <v>12</v>
      </c>
      <c r="D400" s="43">
        <f>'2020-2022 год Приложение  4'!E24</f>
        <v>3.2</v>
      </c>
      <c r="E400" s="43">
        <f>'2020-2022 год Приложение  4'!F24</f>
        <v>0</v>
      </c>
      <c r="F400" s="43">
        <f>'2020-2022 год Приложение  4'!G24</f>
        <v>3.2</v>
      </c>
      <c r="G400" s="43">
        <f>'2020-2022 год Приложение  4'!H24</f>
        <v>3.3</v>
      </c>
      <c r="H400" s="43">
        <f>'2020-2022 год Приложение  4'!I24</f>
        <v>3.2</v>
      </c>
    </row>
    <row r="401" spans="1:8" ht="31.5">
      <c r="A401" s="44" t="s">
        <v>32</v>
      </c>
      <c r="B401" s="42" t="s">
        <v>104</v>
      </c>
      <c r="C401" s="42" t="s">
        <v>0</v>
      </c>
      <c r="D401" s="43">
        <f>D402+D403+D404</f>
        <v>2779.0000000000005</v>
      </c>
      <c r="E401" s="43">
        <f>E402+E403+E404</f>
        <v>-426.4</v>
      </c>
      <c r="F401" s="43">
        <f>F402+F403+F404</f>
        <v>2352.6000000000004</v>
      </c>
      <c r="G401" s="43">
        <f>G402+G403+G404</f>
        <v>2567.4000000000005</v>
      </c>
      <c r="H401" s="43">
        <f>H402+H403+H404</f>
        <v>2589</v>
      </c>
    </row>
    <row r="402" spans="1:8" ht="63">
      <c r="A402" s="44" t="s">
        <v>14</v>
      </c>
      <c r="B402" s="42" t="s">
        <v>104</v>
      </c>
      <c r="C402" s="42" t="s">
        <v>15</v>
      </c>
      <c r="D402" s="43">
        <f>'2020-2022 год Приложение  4'!E26</f>
        <v>2482.8</v>
      </c>
      <c r="E402" s="43">
        <f>'2020-2022 год Приложение  4'!F26</f>
        <v>-423.4</v>
      </c>
      <c r="F402" s="43">
        <f>'2020-2022 год Приложение  4'!G26</f>
        <v>2059.4</v>
      </c>
      <c r="G402" s="43">
        <f>'2020-2022 год Приложение  4'!H26</f>
        <v>2452.8</v>
      </c>
      <c r="H402" s="43">
        <f>'2020-2022 год Приложение  4'!I26</f>
        <v>2469.5</v>
      </c>
    </row>
    <row r="403" spans="1:8" ht="47.25">
      <c r="A403" s="45" t="s">
        <v>449</v>
      </c>
      <c r="B403" s="42" t="s">
        <v>104</v>
      </c>
      <c r="C403" s="21" t="s">
        <v>8</v>
      </c>
      <c r="D403" s="43">
        <f>'2020-2022 год Приложение  4'!E27</f>
        <v>294.4</v>
      </c>
      <c r="E403" s="43">
        <f>'2020-2022 год Приложение  4'!F27</f>
        <v>-3</v>
      </c>
      <c r="F403" s="43">
        <f>'2020-2022 год Приложение  4'!G27</f>
        <v>291.4</v>
      </c>
      <c r="G403" s="43">
        <f>'2020-2022 год Приложение  4'!H27</f>
        <v>112.8</v>
      </c>
      <c r="H403" s="43">
        <f>'2020-2022 год Приложение  4'!I27</f>
        <v>117.7</v>
      </c>
    </row>
    <row r="404" spans="1:8" ht="15.75">
      <c r="A404" s="45" t="s">
        <v>9</v>
      </c>
      <c r="B404" s="42" t="s">
        <v>104</v>
      </c>
      <c r="C404" s="21" t="s">
        <v>12</v>
      </c>
      <c r="D404" s="43">
        <f>'2020-2022 год Приложение  4'!E28</f>
        <v>1.8</v>
      </c>
      <c r="E404" s="43">
        <f>'2020-2022 год Приложение  4'!F28</f>
        <v>0</v>
      </c>
      <c r="F404" s="43">
        <f>'2020-2022 год Приложение  4'!G28</f>
        <v>1.8</v>
      </c>
      <c r="G404" s="43">
        <f>'2020-2022 год Приложение  4'!H28</f>
        <v>1.8</v>
      </c>
      <c r="H404" s="43">
        <f>'2020-2022 год Приложение  4'!I28</f>
        <v>1.8</v>
      </c>
    </row>
    <row r="405" spans="1:8" ht="15.75">
      <c r="A405" s="22" t="s">
        <v>410</v>
      </c>
      <c r="B405" s="42" t="s">
        <v>411</v>
      </c>
      <c r="C405" s="60"/>
      <c r="D405" s="43">
        <f>D406</f>
        <v>2699.5</v>
      </c>
      <c r="E405" s="43">
        <f>E406</f>
        <v>0</v>
      </c>
      <c r="F405" s="43">
        <f>F406</f>
        <v>2699.5</v>
      </c>
      <c r="G405" s="43">
        <f>G406</f>
        <v>0</v>
      </c>
      <c r="H405" s="43">
        <f>H406</f>
        <v>0</v>
      </c>
    </row>
    <row r="406" spans="1:8" ht="15.75">
      <c r="A406" s="46" t="s">
        <v>9</v>
      </c>
      <c r="B406" s="42" t="s">
        <v>411</v>
      </c>
      <c r="C406" s="42" t="s">
        <v>12</v>
      </c>
      <c r="D406" s="43">
        <f>'2020-2022 год Приложение  4'!E245</f>
        <v>2699.5</v>
      </c>
      <c r="E406" s="43">
        <f>'2020-2022 год Приложение  4'!F245</f>
        <v>0</v>
      </c>
      <c r="F406" s="43">
        <f>E406+D406</f>
        <v>2699.5</v>
      </c>
      <c r="G406" s="43">
        <f>'2020-2022 год Приложение  4'!H245</f>
        <v>0</v>
      </c>
      <c r="H406" s="43">
        <f>'2020-2022 год Приложение  4'!I245</f>
        <v>0</v>
      </c>
    </row>
    <row r="407" spans="1:8" ht="31.5">
      <c r="A407" s="22" t="s">
        <v>60</v>
      </c>
      <c r="B407" s="42" t="s">
        <v>103</v>
      </c>
      <c r="C407" s="60"/>
      <c r="D407" s="43">
        <f>D410+D408+D409</f>
        <v>44192</v>
      </c>
      <c r="E407" s="43">
        <f>E410+E408+E409</f>
        <v>12115.099999999999</v>
      </c>
      <c r="F407" s="43">
        <f>F410+F408+F409</f>
        <v>56307.09999999999</v>
      </c>
      <c r="G407" s="43">
        <f>G410+G408+G409</f>
        <v>10725</v>
      </c>
      <c r="H407" s="43">
        <f>H410+H408+H409</f>
        <v>0</v>
      </c>
    </row>
    <row r="408" spans="1:8" ht="47.25">
      <c r="A408" s="45" t="s">
        <v>449</v>
      </c>
      <c r="B408" s="42" t="s">
        <v>103</v>
      </c>
      <c r="C408" s="42" t="s">
        <v>8</v>
      </c>
      <c r="D408" s="43">
        <f>'2020-2022 год Приложение  4'!E475+'2020-2022 год Приложение  4'!E372+'2020-2022 год Приложение  4'!E247</f>
        <v>5852.4</v>
      </c>
      <c r="E408" s="43">
        <f>'2020-2022 год Приложение  4'!F475+'2020-2022 год Приложение  4'!F372+'2020-2022 год Приложение  4'!F247</f>
        <v>4528.9</v>
      </c>
      <c r="F408" s="43">
        <f>D408+E408</f>
        <v>10381.3</v>
      </c>
      <c r="G408" s="43">
        <f>'2020-2022 год Приложение  4'!H475+'2020-2022 год Приложение  4'!H372+'2020-2022 год Приложение  4'!H247</f>
        <v>5000</v>
      </c>
      <c r="H408" s="43">
        <f>'2020-2022 год Приложение  4'!I475+'2020-2022 год Приложение  4'!I372+'2020-2022 год Приложение  4'!I247</f>
        <v>0</v>
      </c>
    </row>
    <row r="409" spans="1:8" ht="15.75">
      <c r="A409" s="45" t="s">
        <v>27</v>
      </c>
      <c r="B409" s="42" t="s">
        <v>103</v>
      </c>
      <c r="C409" s="42" t="s">
        <v>16</v>
      </c>
      <c r="D409" s="43">
        <f>'2020-2022 год Приложение  4'!E248</f>
        <v>0</v>
      </c>
      <c r="E409" s="43">
        <f>'2020-2022 год Приложение  4'!F248</f>
        <v>60</v>
      </c>
      <c r="F409" s="43">
        <f>D409:D410+E409</f>
        <v>60</v>
      </c>
      <c r="G409" s="43">
        <f>'2020-2022 год Приложение  4'!H248</f>
        <v>0</v>
      </c>
      <c r="H409" s="43">
        <f>'2020-2022 год Приложение  4'!I248</f>
        <v>0</v>
      </c>
    </row>
    <row r="410" spans="1:8" ht="15.75">
      <c r="A410" s="46" t="s">
        <v>9</v>
      </c>
      <c r="B410" s="42" t="s">
        <v>103</v>
      </c>
      <c r="C410" s="42" t="s">
        <v>12</v>
      </c>
      <c r="D410" s="43">
        <f>'2020-2022 год Приложение  4'!E249+'2020-2022 год Приложение  4'!E373+'2020-2022 год Приложение  4'!E476</f>
        <v>38339.6</v>
      </c>
      <c r="E410" s="43">
        <f>'2020-2022 год Приложение  4'!F476+'2020-2022 год Приложение  4'!F373+'2020-2022 год Приложение  4'!F249+'2020-2022 год Приложение  4'!F30</f>
        <v>7526.199999999999</v>
      </c>
      <c r="F410" s="43">
        <f>E410+D410</f>
        <v>45865.799999999996</v>
      </c>
      <c r="G410" s="43">
        <f>'2020-2022 год Приложение  4'!H476+'2020-2022 год Приложение  4'!H373+'2020-2022 год Приложение  4'!H30</f>
        <v>5725</v>
      </c>
      <c r="H410" s="43">
        <f>'2020-2022 год Приложение  4'!I476+'2020-2022 год Приложение  4'!I373+'2020-2022 год Приложение  4'!I30</f>
        <v>0</v>
      </c>
    </row>
    <row r="411" spans="1:8" ht="63">
      <c r="A411" s="22" t="s">
        <v>395</v>
      </c>
      <c r="B411" s="42" t="s">
        <v>396</v>
      </c>
      <c r="C411" s="21"/>
      <c r="D411" s="43">
        <f>D412</f>
        <v>34.1</v>
      </c>
      <c r="E411" s="43">
        <f>E412</f>
        <v>0</v>
      </c>
      <c r="F411" s="43">
        <f>F412</f>
        <v>34.1</v>
      </c>
      <c r="G411" s="43">
        <f>G412</f>
        <v>0</v>
      </c>
      <c r="H411" s="43">
        <f>H412</f>
        <v>0</v>
      </c>
    </row>
    <row r="412" spans="1:8" ht="47.25">
      <c r="A412" s="45" t="s">
        <v>449</v>
      </c>
      <c r="B412" s="42" t="s">
        <v>396</v>
      </c>
      <c r="C412" s="21" t="s">
        <v>8</v>
      </c>
      <c r="D412" s="43">
        <f>'2020-2022 год Приложение  4'!E478</f>
        <v>34.1</v>
      </c>
      <c r="E412" s="43">
        <f>'2020-2022 год Приложение  4'!F478</f>
        <v>0</v>
      </c>
      <c r="F412" s="43">
        <f>D412+E412</f>
        <v>34.1</v>
      </c>
      <c r="G412" s="43">
        <f>'2020-2022 год Приложение  4'!H478</f>
        <v>0</v>
      </c>
      <c r="H412" s="43">
        <f>'2020-2022 год Приложение  4'!I478</f>
        <v>0</v>
      </c>
    </row>
    <row r="413" spans="1:8" ht="126">
      <c r="A413" s="99" t="s">
        <v>398</v>
      </c>
      <c r="B413" s="42" t="s">
        <v>399</v>
      </c>
      <c r="C413" s="42"/>
      <c r="D413" s="43">
        <f>D414</f>
        <v>19.3</v>
      </c>
      <c r="E413" s="43">
        <f>E414</f>
        <v>0</v>
      </c>
      <c r="F413" s="43">
        <f>F414</f>
        <v>19.3</v>
      </c>
      <c r="G413" s="43">
        <f>G414</f>
        <v>0</v>
      </c>
      <c r="H413" s="43">
        <f>H414</f>
        <v>0</v>
      </c>
    </row>
    <row r="414" spans="1:8" ht="47.25">
      <c r="A414" s="45" t="s">
        <v>449</v>
      </c>
      <c r="B414" s="42" t="s">
        <v>399</v>
      </c>
      <c r="C414" s="42" t="s">
        <v>8</v>
      </c>
      <c r="D414" s="43">
        <f>'2020-2022 год Приложение  4'!E251</f>
        <v>19.3</v>
      </c>
      <c r="E414" s="43">
        <f>'2020-2022 год Приложение  4'!F251</f>
        <v>0</v>
      </c>
      <c r="F414" s="43">
        <f>'2020-2022 год Приложение  4'!G251</f>
        <v>19.3</v>
      </c>
      <c r="G414" s="43">
        <f>'2020-2022 год Приложение  4'!H251</f>
        <v>0</v>
      </c>
      <c r="H414" s="43">
        <f>'2020-2022 год Приложение  4'!I251</f>
        <v>0</v>
      </c>
    </row>
    <row r="415" spans="1:8" ht="63">
      <c r="A415" s="129" t="s">
        <v>400</v>
      </c>
      <c r="B415" s="42" t="s">
        <v>401</v>
      </c>
      <c r="C415" s="42"/>
      <c r="D415" s="43">
        <f>D416</f>
        <v>42.3</v>
      </c>
      <c r="E415" s="43">
        <f>E416</f>
        <v>0</v>
      </c>
      <c r="F415" s="43">
        <f>F416</f>
        <v>42.3</v>
      </c>
      <c r="G415" s="43">
        <f>G416</f>
        <v>0</v>
      </c>
      <c r="H415" s="43">
        <f>H416</f>
        <v>0</v>
      </c>
    </row>
    <row r="416" spans="1:8" ht="47.25">
      <c r="A416" s="45" t="s">
        <v>449</v>
      </c>
      <c r="B416" s="42" t="s">
        <v>401</v>
      </c>
      <c r="C416" s="42" t="s">
        <v>8</v>
      </c>
      <c r="D416" s="43">
        <f>'2020-2022 год Приложение  4'!E253</f>
        <v>42.3</v>
      </c>
      <c r="E416" s="43">
        <f>'2020-2022 год Приложение  4'!F253</f>
        <v>0</v>
      </c>
      <c r="F416" s="43">
        <f>'2020-2022 год Приложение  4'!G253</f>
        <v>42.3</v>
      </c>
      <c r="G416" s="43">
        <f>'2020-2022 год Приложение  4'!H253</f>
        <v>0</v>
      </c>
      <c r="H416" s="43">
        <f>'2020-2022 год Приложение  4'!I253</f>
        <v>0</v>
      </c>
    </row>
    <row r="417" spans="1:8" ht="63">
      <c r="A417" s="46" t="s">
        <v>402</v>
      </c>
      <c r="B417" s="42" t="s">
        <v>403</v>
      </c>
      <c r="C417" s="21"/>
      <c r="D417" s="43">
        <f>D418</f>
        <v>38.6</v>
      </c>
      <c r="E417" s="43">
        <f>E418</f>
        <v>0</v>
      </c>
      <c r="F417" s="43">
        <f>F418</f>
        <v>38.6</v>
      </c>
      <c r="G417" s="43">
        <f>G418</f>
        <v>0</v>
      </c>
      <c r="H417" s="43">
        <f>H418</f>
        <v>0</v>
      </c>
    </row>
    <row r="418" spans="1:8" ht="47.25">
      <c r="A418" s="45" t="s">
        <v>449</v>
      </c>
      <c r="B418" s="42" t="s">
        <v>403</v>
      </c>
      <c r="C418" s="21" t="s">
        <v>8</v>
      </c>
      <c r="D418" s="43">
        <f>'2020-2022 год Приложение  4'!E255</f>
        <v>38.6</v>
      </c>
      <c r="E418" s="43">
        <f>'2020-2022 год Приложение  4'!F255</f>
        <v>0</v>
      </c>
      <c r="F418" s="43">
        <f>'2020-2022 год Приложение  4'!G255</f>
        <v>38.6</v>
      </c>
      <c r="G418" s="43">
        <f>'2020-2022 год Приложение  4'!H255</f>
        <v>0</v>
      </c>
      <c r="H418" s="43">
        <f>'2020-2022 год Приложение  4'!I255</f>
        <v>0</v>
      </c>
    </row>
    <row r="419" spans="1:8" ht="63">
      <c r="A419" s="46" t="s">
        <v>404</v>
      </c>
      <c r="B419" s="42" t="s">
        <v>405</v>
      </c>
      <c r="C419" s="21"/>
      <c r="D419" s="43">
        <f>D420</f>
        <v>10.6</v>
      </c>
      <c r="E419" s="43">
        <f>E420</f>
        <v>0.6</v>
      </c>
      <c r="F419" s="43">
        <f>F420</f>
        <v>11.2</v>
      </c>
      <c r="G419" s="43">
        <f>G420</f>
        <v>0</v>
      </c>
      <c r="H419" s="43">
        <f>H420</f>
        <v>0</v>
      </c>
    </row>
    <row r="420" spans="1:8" ht="47.25">
      <c r="A420" s="45" t="s">
        <v>449</v>
      </c>
      <c r="B420" s="42" t="s">
        <v>405</v>
      </c>
      <c r="C420" s="21" t="s">
        <v>8</v>
      </c>
      <c r="D420" s="43">
        <f>'2020-2022 год Приложение  4'!E257</f>
        <v>10.6</v>
      </c>
      <c r="E420" s="43">
        <f>'2020-2022 год Приложение  4'!F257</f>
        <v>0.6</v>
      </c>
      <c r="F420" s="43">
        <f>'2020-2022 год Приложение  4'!G257</f>
        <v>11.2</v>
      </c>
      <c r="G420" s="43">
        <f>'2020-2022 год Приложение  4'!H257</f>
        <v>0</v>
      </c>
      <c r="H420" s="43">
        <f>'2020-2022 год Приложение  4'!I257</f>
        <v>0</v>
      </c>
    </row>
    <row r="421" spans="1:8" ht="78.75">
      <c r="A421" s="99" t="s">
        <v>406</v>
      </c>
      <c r="B421" s="42" t="s">
        <v>407</v>
      </c>
      <c r="C421" s="21"/>
      <c r="D421" s="43">
        <f>D422</f>
        <v>123.1</v>
      </c>
      <c r="E421" s="43">
        <f>E422</f>
        <v>0</v>
      </c>
      <c r="F421" s="43">
        <f>F422</f>
        <v>123.1</v>
      </c>
      <c r="G421" s="43">
        <f>G422</f>
        <v>0</v>
      </c>
      <c r="H421" s="43">
        <f>H422</f>
        <v>0</v>
      </c>
    </row>
    <row r="422" spans="1:8" ht="47.25">
      <c r="A422" s="45" t="s">
        <v>449</v>
      </c>
      <c r="B422" s="42" t="s">
        <v>407</v>
      </c>
      <c r="C422" s="21" t="s">
        <v>8</v>
      </c>
      <c r="D422" s="43">
        <f>'2020-2022 год Приложение  4'!E259</f>
        <v>123.1</v>
      </c>
      <c r="E422" s="43">
        <f>'2020-2022 год Приложение  4'!F259</f>
        <v>0</v>
      </c>
      <c r="F422" s="43">
        <f>'2020-2022 год Приложение  4'!G259</f>
        <v>123.1</v>
      </c>
      <c r="G422" s="43">
        <f>'2020-2022 год Приложение  4'!H259</f>
        <v>0</v>
      </c>
      <c r="H422" s="43">
        <f>'2020-2022 год Приложение  4'!I259</f>
        <v>0</v>
      </c>
    </row>
    <row r="423" spans="1:8" ht="78.75">
      <c r="A423" s="99" t="s">
        <v>408</v>
      </c>
      <c r="B423" s="42" t="s">
        <v>409</v>
      </c>
      <c r="C423" s="42"/>
      <c r="D423" s="43">
        <f>D424</f>
        <v>19.4</v>
      </c>
      <c r="E423" s="43">
        <f>E424</f>
        <v>0</v>
      </c>
      <c r="F423" s="43">
        <f>F424</f>
        <v>19.4</v>
      </c>
      <c r="G423" s="43">
        <f>G424</f>
        <v>0</v>
      </c>
      <c r="H423" s="43">
        <f>H424</f>
        <v>0</v>
      </c>
    </row>
    <row r="424" spans="1:8" ht="47.25">
      <c r="A424" s="45" t="s">
        <v>449</v>
      </c>
      <c r="B424" s="42" t="s">
        <v>409</v>
      </c>
      <c r="C424" s="42" t="s">
        <v>8</v>
      </c>
      <c r="D424" s="43">
        <f>'2020-2022 год Приложение  4'!E261</f>
        <v>19.4</v>
      </c>
      <c r="E424" s="43">
        <f>'2020-2022 год Приложение  4'!F261</f>
        <v>0</v>
      </c>
      <c r="F424" s="43">
        <f>'2020-2022 год Приложение  4'!G261</f>
        <v>19.4</v>
      </c>
      <c r="G424" s="43">
        <f>'2020-2022 год Приложение  4'!H261</f>
        <v>0</v>
      </c>
      <c r="H424" s="43">
        <f>'2020-2022 год Приложение  4'!I261</f>
        <v>0</v>
      </c>
    </row>
    <row r="425" spans="1:8" ht="78.75">
      <c r="A425" s="99" t="s">
        <v>446</v>
      </c>
      <c r="B425" s="42" t="s">
        <v>445</v>
      </c>
      <c r="C425" s="42"/>
      <c r="D425" s="43">
        <f>D426</f>
        <v>60</v>
      </c>
      <c r="E425" s="43">
        <f>E426</f>
        <v>0</v>
      </c>
      <c r="F425" s="43">
        <f>F426</f>
        <v>60</v>
      </c>
      <c r="G425" s="43">
        <f>G426</f>
        <v>0</v>
      </c>
      <c r="H425" s="43">
        <f>H426</f>
        <v>0</v>
      </c>
    </row>
    <row r="426" spans="1:8" ht="15.75">
      <c r="A426" s="110" t="s">
        <v>42</v>
      </c>
      <c r="B426" s="42" t="s">
        <v>445</v>
      </c>
      <c r="C426" s="42" t="s">
        <v>43</v>
      </c>
      <c r="D426" s="43">
        <f>'2020-2022 год Приложение  4'!E263</f>
        <v>60</v>
      </c>
      <c r="E426" s="43">
        <f>'2020-2022 год Приложение  4'!F263</f>
        <v>0</v>
      </c>
      <c r="F426" s="43">
        <f>D426+E426</f>
        <v>60</v>
      </c>
      <c r="G426" s="43">
        <f>'2020-2022 год Приложение  4'!H263</f>
        <v>0</v>
      </c>
      <c r="H426" s="43">
        <f>'2020-2022 год Приложение  4'!I263</f>
        <v>0</v>
      </c>
    </row>
    <row r="427" spans="1:8" ht="31.5">
      <c r="A427" s="46" t="s">
        <v>414</v>
      </c>
      <c r="B427" s="42" t="s">
        <v>413</v>
      </c>
      <c r="C427" s="42"/>
      <c r="D427" s="43">
        <f>D428</f>
        <v>580</v>
      </c>
      <c r="E427" s="43">
        <f>E428</f>
        <v>621.9</v>
      </c>
      <c r="F427" s="43">
        <f>E427+D427</f>
        <v>1201.9</v>
      </c>
      <c r="G427" s="43">
        <f>G428</f>
        <v>0</v>
      </c>
      <c r="H427" s="43">
        <f>H428</f>
        <v>0</v>
      </c>
    </row>
    <row r="428" spans="1:8" ht="47.25">
      <c r="A428" s="45" t="s">
        <v>449</v>
      </c>
      <c r="B428" s="42" t="s">
        <v>413</v>
      </c>
      <c r="C428" s="42" t="s">
        <v>8</v>
      </c>
      <c r="D428" s="43">
        <f>'2020-2022 год Приложение  4'!E265</f>
        <v>580</v>
      </c>
      <c r="E428" s="43">
        <f>'2020-2022 год Приложение  4'!F265</f>
        <v>621.9</v>
      </c>
      <c r="F428" s="43">
        <f>D428+E428</f>
        <v>1201.9</v>
      </c>
      <c r="G428" s="43">
        <f>'2020-2022 год Приложение  4'!H265</f>
        <v>0</v>
      </c>
      <c r="H428" s="43">
        <f>'2020-2022 год Приложение  4'!I265</f>
        <v>0</v>
      </c>
    </row>
    <row r="429" spans="1:8" ht="31.5">
      <c r="A429" s="55" t="s">
        <v>257</v>
      </c>
      <c r="B429" s="42" t="s">
        <v>258</v>
      </c>
      <c r="C429" s="21"/>
      <c r="D429" s="43">
        <f>D430</f>
        <v>50</v>
      </c>
      <c r="E429" s="43">
        <f>E430</f>
        <v>0</v>
      </c>
      <c r="F429" s="43">
        <f>F430</f>
        <v>50</v>
      </c>
      <c r="G429" s="43">
        <f>G430</f>
        <v>0</v>
      </c>
      <c r="H429" s="43">
        <f>H430</f>
        <v>0</v>
      </c>
    </row>
    <row r="430" spans="1:8" ht="47.25">
      <c r="A430" s="45" t="s">
        <v>449</v>
      </c>
      <c r="B430" s="42" t="s">
        <v>258</v>
      </c>
      <c r="C430" s="21" t="s">
        <v>8</v>
      </c>
      <c r="D430" s="43">
        <f>'2020-2022 год Приложение  4'!E267</f>
        <v>50</v>
      </c>
      <c r="E430" s="43">
        <f>'2020-2022 год Приложение  4'!F267</f>
        <v>0</v>
      </c>
      <c r="F430" s="43">
        <f>'2020-2022 год Приложение  4'!G267</f>
        <v>50</v>
      </c>
      <c r="G430" s="43">
        <f>'2020-2022 год Приложение  4'!H267</f>
        <v>0</v>
      </c>
      <c r="H430" s="43">
        <f>'2020-2022 год Приложение  4'!I267</f>
        <v>0</v>
      </c>
    </row>
    <row r="431" spans="1:8" ht="31.5">
      <c r="A431" s="40" t="s">
        <v>247</v>
      </c>
      <c r="B431" s="42" t="s">
        <v>248</v>
      </c>
      <c r="C431" s="58"/>
      <c r="D431" s="43">
        <f>D432</f>
        <v>94.8</v>
      </c>
      <c r="E431" s="43" t="str">
        <f>E432</f>
        <v>-46,6</v>
      </c>
      <c r="F431" s="43">
        <f>F432</f>
        <v>48.199999999999996</v>
      </c>
      <c r="G431" s="43">
        <f>G432</f>
        <v>101.3</v>
      </c>
      <c r="H431" s="43">
        <f>H432</f>
        <v>568.2</v>
      </c>
    </row>
    <row r="432" spans="1:8" ht="47.25">
      <c r="A432" s="45" t="s">
        <v>449</v>
      </c>
      <c r="B432" s="42" t="s">
        <v>248</v>
      </c>
      <c r="C432" s="21" t="s">
        <v>8</v>
      </c>
      <c r="D432" s="43">
        <f>'2020-2022 год Приложение  4'!E269</f>
        <v>94.8</v>
      </c>
      <c r="E432" s="43" t="str">
        <f>'2020-2022 год Приложение  4'!F269</f>
        <v>-46,6</v>
      </c>
      <c r="F432" s="43">
        <f>'2020-2022 год Приложение  4'!G269</f>
        <v>48.199999999999996</v>
      </c>
      <c r="G432" s="43">
        <f>'2020-2022 год Приложение  4'!H269</f>
        <v>101.3</v>
      </c>
      <c r="H432" s="43">
        <f>'2020-2022 год Приложение  4'!I269</f>
        <v>568.2</v>
      </c>
    </row>
    <row r="433" spans="1:8" ht="15.75">
      <c r="A433" s="46" t="s">
        <v>333</v>
      </c>
      <c r="B433" s="42" t="s">
        <v>332</v>
      </c>
      <c r="C433" s="21"/>
      <c r="D433" s="43">
        <f>D434</f>
        <v>858.6</v>
      </c>
      <c r="E433" s="43">
        <f>E434</f>
        <v>0</v>
      </c>
      <c r="F433" s="43">
        <f>F434</f>
        <v>858.6</v>
      </c>
      <c r="G433" s="43">
        <f>G434</f>
        <v>0</v>
      </c>
      <c r="H433" s="43">
        <f>H434</f>
        <v>0</v>
      </c>
    </row>
    <row r="434" spans="1:8" ht="47.25">
      <c r="A434" s="45" t="s">
        <v>449</v>
      </c>
      <c r="B434" s="42" t="s">
        <v>332</v>
      </c>
      <c r="C434" s="21" t="s">
        <v>8</v>
      </c>
      <c r="D434" s="43">
        <f>'2020-2022 год Приложение  4'!E271</f>
        <v>858.6</v>
      </c>
      <c r="E434" s="43">
        <f>'2020-2022 год Приложение  4'!F271</f>
        <v>0</v>
      </c>
      <c r="F434" s="43">
        <f>'2020-2022 год Приложение  4'!G271</f>
        <v>858.6</v>
      </c>
      <c r="G434" s="43">
        <f>'2020-2022 год Приложение  4'!H271</f>
        <v>0</v>
      </c>
      <c r="H434" s="43">
        <f>'2020-2022 год Приложение  4'!I271</f>
        <v>0</v>
      </c>
    </row>
    <row r="435" spans="1:8" ht="63">
      <c r="A435" s="46" t="s">
        <v>190</v>
      </c>
      <c r="B435" s="42" t="s">
        <v>189</v>
      </c>
      <c r="C435" s="42"/>
      <c r="D435" s="43">
        <f>D436</f>
        <v>805.5</v>
      </c>
      <c r="E435" s="43">
        <f>E436</f>
        <v>0</v>
      </c>
      <c r="F435" s="43">
        <f>F436</f>
        <v>805.5</v>
      </c>
      <c r="G435" s="43">
        <f>G436</f>
        <v>805.5</v>
      </c>
      <c r="H435" s="43">
        <f>H436</f>
        <v>805.5</v>
      </c>
    </row>
    <row r="436" spans="1:8" ht="31.5">
      <c r="A436" s="46" t="s">
        <v>10</v>
      </c>
      <c r="B436" s="42" t="s">
        <v>189</v>
      </c>
      <c r="C436" s="42" t="s">
        <v>11</v>
      </c>
      <c r="D436" s="43">
        <f>'2020-2022 год Приложение  4'!E332</f>
        <v>805.5</v>
      </c>
      <c r="E436" s="43">
        <f>'2020-2022 год Приложение  4'!F332</f>
        <v>0</v>
      </c>
      <c r="F436" s="43">
        <f>'2020-2022 год Приложение  4'!G332</f>
        <v>805.5</v>
      </c>
      <c r="G436" s="43">
        <f>'2020-2022 год Приложение  4'!H332</f>
        <v>805.5</v>
      </c>
      <c r="H436" s="43">
        <f>'2020-2022 год Приложение  4'!I332</f>
        <v>805.5</v>
      </c>
    </row>
    <row r="437" spans="1:8" ht="47.25">
      <c r="A437" s="46" t="s">
        <v>231</v>
      </c>
      <c r="B437" s="42" t="s">
        <v>230</v>
      </c>
      <c r="C437" s="42"/>
      <c r="D437" s="43">
        <f>D438</f>
        <v>633.5</v>
      </c>
      <c r="E437" s="43">
        <f>E438</f>
        <v>0</v>
      </c>
      <c r="F437" s="43">
        <f>F438</f>
        <v>633.5</v>
      </c>
      <c r="G437" s="43">
        <f>G438</f>
        <v>0</v>
      </c>
      <c r="H437" s="43">
        <f>H438</f>
        <v>0</v>
      </c>
    </row>
    <row r="438" spans="1:8" ht="15.75">
      <c r="A438" s="46" t="s">
        <v>27</v>
      </c>
      <c r="B438" s="42" t="s">
        <v>230</v>
      </c>
      <c r="C438" s="42" t="s">
        <v>16</v>
      </c>
      <c r="D438" s="43">
        <f>'2020-2022 год Приложение  4'!E273</f>
        <v>633.5</v>
      </c>
      <c r="E438" s="43">
        <f>'2020-2022 год Приложение  4'!F273</f>
        <v>0</v>
      </c>
      <c r="F438" s="43">
        <f>'2020-2022 год Приложение  4'!G273</f>
        <v>633.5</v>
      </c>
      <c r="G438" s="43">
        <f>'2020-2022 год Приложение  4'!H273</f>
        <v>0</v>
      </c>
      <c r="H438" s="43">
        <f>'2020-2022 год Приложение  4'!I273</f>
        <v>0</v>
      </c>
    </row>
    <row r="439" spans="1:8" ht="78.75">
      <c r="A439" s="66" t="s">
        <v>191</v>
      </c>
      <c r="B439" s="155" t="s">
        <v>98</v>
      </c>
      <c r="C439" s="156"/>
      <c r="D439" s="47">
        <f>D440</f>
        <v>1</v>
      </c>
      <c r="E439" s="47">
        <f>E440</f>
        <v>0</v>
      </c>
      <c r="F439" s="47">
        <f>F440</f>
        <v>1</v>
      </c>
      <c r="G439" s="47">
        <f>G440</f>
        <v>1</v>
      </c>
      <c r="H439" s="47">
        <f>H440</f>
        <v>1</v>
      </c>
    </row>
    <row r="440" spans="1:8" ht="47.25">
      <c r="A440" s="45" t="s">
        <v>449</v>
      </c>
      <c r="B440" s="155" t="s">
        <v>98</v>
      </c>
      <c r="C440" s="156">
        <v>200</v>
      </c>
      <c r="D440" s="43">
        <f>'2020-2022 год Приложение  4'!E480</f>
        <v>1</v>
      </c>
      <c r="E440" s="43">
        <f>'2020-2022 год Приложение  4'!F480</f>
        <v>0</v>
      </c>
      <c r="F440" s="43">
        <f>'2020-2022 год Приложение  4'!G480</f>
        <v>1</v>
      </c>
      <c r="G440" s="43">
        <f>'2020-2022 год Приложение  4'!H480</f>
        <v>1</v>
      </c>
      <c r="H440" s="43">
        <f>'2020-2022 год Приложение  4'!I480</f>
        <v>1</v>
      </c>
    </row>
    <row r="441" spans="1:8" ht="141.75">
      <c r="A441" s="66" t="s">
        <v>192</v>
      </c>
      <c r="B441" s="155" t="s">
        <v>99</v>
      </c>
      <c r="C441" s="156"/>
      <c r="D441" s="47">
        <f>D442</f>
        <v>3</v>
      </c>
      <c r="E441" s="47">
        <f>E442</f>
        <v>0</v>
      </c>
      <c r="F441" s="47">
        <f>F442</f>
        <v>3</v>
      </c>
      <c r="G441" s="47">
        <f>G442</f>
        <v>3</v>
      </c>
      <c r="H441" s="47">
        <f>H442</f>
        <v>3</v>
      </c>
    </row>
    <row r="442" spans="1:8" ht="47.25">
      <c r="A442" s="45" t="s">
        <v>449</v>
      </c>
      <c r="B442" s="155" t="s">
        <v>99</v>
      </c>
      <c r="C442" s="156">
        <v>200</v>
      </c>
      <c r="D442" s="43">
        <f>'2020-2022 год Приложение  4'!E482</f>
        <v>3</v>
      </c>
      <c r="E442" s="43">
        <f>'2020-2022 год Приложение  4'!F482</f>
        <v>0</v>
      </c>
      <c r="F442" s="43">
        <f>'2020-2022 год Приложение  4'!G482</f>
        <v>3</v>
      </c>
      <c r="G442" s="43">
        <f>'2020-2022 год Приложение  4'!H482</f>
        <v>3</v>
      </c>
      <c r="H442" s="43">
        <f>'2020-2022 год Приложение  4'!I482</f>
        <v>3</v>
      </c>
    </row>
    <row r="443" spans="1:8" ht="15.75">
      <c r="A443" s="22" t="s">
        <v>44</v>
      </c>
      <c r="B443" s="155" t="s">
        <v>100</v>
      </c>
      <c r="C443" s="48"/>
      <c r="D443" s="47">
        <f>D444</f>
        <v>1323.7</v>
      </c>
      <c r="E443" s="47">
        <f>E444</f>
        <v>0</v>
      </c>
      <c r="F443" s="47">
        <f>F444</f>
        <v>1323.7</v>
      </c>
      <c r="G443" s="47">
        <f>G444</f>
        <v>1301.5</v>
      </c>
      <c r="H443" s="47">
        <f>H444</f>
        <v>1276.3</v>
      </c>
    </row>
    <row r="444" spans="1:8" ht="15.75">
      <c r="A444" s="46" t="s">
        <v>42</v>
      </c>
      <c r="B444" s="155" t="s">
        <v>100</v>
      </c>
      <c r="C444" s="42" t="s">
        <v>43</v>
      </c>
      <c r="D444" s="43">
        <f>'2020-2022 год Приложение  4'!E484</f>
        <v>1323.7</v>
      </c>
      <c r="E444" s="43">
        <f>'2020-2022 год Приложение  4'!F484</f>
        <v>0</v>
      </c>
      <c r="F444" s="43">
        <f>'2020-2022 год Приложение  4'!G484</f>
        <v>1323.7</v>
      </c>
      <c r="G444" s="43">
        <f>'2020-2022 год Приложение  4'!H484</f>
        <v>1301.5</v>
      </c>
      <c r="H444" s="43">
        <f>'2020-2022 год Приложение  4'!I484</f>
        <v>1276.3</v>
      </c>
    </row>
    <row r="445" spans="1:8" ht="87.75" customHeight="1">
      <c r="A445" s="157" t="s">
        <v>250</v>
      </c>
      <c r="B445" s="155" t="s">
        <v>101</v>
      </c>
      <c r="C445" s="49"/>
      <c r="D445" s="47">
        <f>D446</f>
        <v>134.2</v>
      </c>
      <c r="E445" s="47">
        <f>E446</f>
        <v>0</v>
      </c>
      <c r="F445" s="47">
        <f>F446</f>
        <v>134.2</v>
      </c>
      <c r="G445" s="47">
        <f>G446</f>
        <v>137.3</v>
      </c>
      <c r="H445" s="47">
        <f>H446</f>
        <v>141.1</v>
      </c>
    </row>
    <row r="446" spans="1:8" ht="15.75">
      <c r="A446" s="46" t="s">
        <v>42</v>
      </c>
      <c r="B446" s="155" t="s">
        <v>101</v>
      </c>
      <c r="C446" s="42" t="s">
        <v>43</v>
      </c>
      <c r="D446" s="43">
        <f>'2020-2022 год Приложение  4'!E486</f>
        <v>134.2</v>
      </c>
      <c r="E446" s="43">
        <f>'2020-2022 год Приложение  4'!F486</f>
        <v>0</v>
      </c>
      <c r="F446" s="43">
        <f>'2020-2022 год Приложение  4'!G486</f>
        <v>134.2</v>
      </c>
      <c r="G446" s="43">
        <f>'2020-2022 год Приложение  4'!H486</f>
        <v>137.3</v>
      </c>
      <c r="H446" s="43">
        <f>'2020-2022 год Приложение  4'!I486</f>
        <v>141.1</v>
      </c>
    </row>
    <row r="447" spans="1:8" ht="90">
      <c r="A447" s="50" t="s">
        <v>222</v>
      </c>
      <c r="B447" s="155" t="s">
        <v>102</v>
      </c>
      <c r="C447" s="49"/>
      <c r="D447" s="47">
        <f>D448</f>
        <v>7</v>
      </c>
      <c r="E447" s="47">
        <f>E448</f>
        <v>0</v>
      </c>
      <c r="F447" s="47">
        <f>F448</f>
        <v>7</v>
      </c>
      <c r="G447" s="47">
        <f>G448</f>
        <v>7</v>
      </c>
      <c r="H447" s="47">
        <f>H448</f>
        <v>7</v>
      </c>
    </row>
    <row r="448" spans="1:8" ht="47.25">
      <c r="A448" s="45" t="s">
        <v>449</v>
      </c>
      <c r="B448" s="155" t="s">
        <v>102</v>
      </c>
      <c r="C448" s="42" t="s">
        <v>8</v>
      </c>
      <c r="D448" s="43">
        <f>'2020-2022 год Приложение  4'!E488</f>
        <v>7</v>
      </c>
      <c r="E448" s="43">
        <f>'2020-2022 год Приложение  4'!F488</f>
        <v>0</v>
      </c>
      <c r="F448" s="43">
        <f>'2020-2022 год Приложение  4'!G488</f>
        <v>7</v>
      </c>
      <c r="G448" s="43">
        <f>'2020-2022 год Приложение  4'!H488</f>
        <v>7</v>
      </c>
      <c r="H448" s="43">
        <f>'2020-2022 год Приложение  4'!I488</f>
        <v>7</v>
      </c>
    </row>
    <row r="449" spans="1:8" ht="31.5">
      <c r="A449" s="22" t="s">
        <v>85</v>
      </c>
      <c r="B449" s="42" t="s">
        <v>97</v>
      </c>
      <c r="C449" s="42" t="s">
        <v>0</v>
      </c>
      <c r="D449" s="47">
        <f>D450</f>
        <v>17520.1</v>
      </c>
      <c r="E449" s="47">
        <f>E450</f>
        <v>0</v>
      </c>
      <c r="F449" s="47">
        <f>F450</f>
        <v>17520.1</v>
      </c>
      <c r="G449" s="47">
        <f>G450</f>
        <v>13432.6</v>
      </c>
      <c r="H449" s="47">
        <f>H450</f>
        <v>13350</v>
      </c>
    </row>
    <row r="450" spans="1:8" ht="15.75">
      <c r="A450" s="46" t="s">
        <v>42</v>
      </c>
      <c r="B450" s="42" t="s">
        <v>97</v>
      </c>
      <c r="C450" s="42" t="s">
        <v>43</v>
      </c>
      <c r="D450" s="43">
        <f>'2020-2022 год Приложение  4'!E490</f>
        <v>17520.1</v>
      </c>
      <c r="E450" s="43">
        <f>'2020-2022 год Приложение  4'!F490</f>
        <v>0</v>
      </c>
      <c r="F450" s="43">
        <f>'2020-2022 год Приложение  4'!G490</f>
        <v>17520.1</v>
      </c>
      <c r="G450" s="43">
        <f>'2020-2022 год Приложение  4'!H490</f>
        <v>13432.6</v>
      </c>
      <c r="H450" s="43">
        <f>'2020-2022 год Приложение  4'!I490</f>
        <v>13350</v>
      </c>
    </row>
    <row r="451" spans="1:8" ht="47.25">
      <c r="A451" s="46" t="s">
        <v>379</v>
      </c>
      <c r="B451" s="42" t="s">
        <v>326</v>
      </c>
      <c r="C451" s="42"/>
      <c r="D451" s="43">
        <f>D452</f>
        <v>1762.6</v>
      </c>
      <c r="E451" s="43">
        <f>E452</f>
        <v>0</v>
      </c>
      <c r="F451" s="43">
        <f>F452</f>
        <v>1762.6</v>
      </c>
      <c r="G451" s="43">
        <f>G452</f>
        <v>2065.6</v>
      </c>
      <c r="H451" s="43">
        <f>H452</f>
        <v>2148.2</v>
      </c>
    </row>
    <row r="452" spans="1:8" ht="15.75">
      <c r="A452" s="46" t="s">
        <v>42</v>
      </c>
      <c r="B452" s="42" t="s">
        <v>326</v>
      </c>
      <c r="C452" s="42" t="s">
        <v>43</v>
      </c>
      <c r="D452" s="43">
        <f>'2020-2022 год Приложение  4'!E492</f>
        <v>1762.6</v>
      </c>
      <c r="E452" s="43">
        <f>'2020-2022 год Приложение  4'!F492</f>
        <v>0</v>
      </c>
      <c r="F452" s="43">
        <f>'2020-2022 год Приложение  4'!G492</f>
        <v>1762.6</v>
      </c>
      <c r="G452" s="43">
        <f>'2020-2022 год Приложение  4'!H492</f>
        <v>2065.6</v>
      </c>
      <c r="H452" s="43">
        <f>'2020-2022 год Приложение  4'!I492</f>
        <v>2148.2</v>
      </c>
    </row>
    <row r="453" spans="1:8" ht="47.25">
      <c r="A453" s="46" t="s">
        <v>380</v>
      </c>
      <c r="B453" s="42" t="s">
        <v>327</v>
      </c>
      <c r="C453" s="42"/>
      <c r="D453" s="43">
        <f>D454</f>
        <v>2501.8</v>
      </c>
      <c r="E453" s="43">
        <f>E454</f>
        <v>0</v>
      </c>
      <c r="F453" s="43">
        <f>F454</f>
        <v>2501.8</v>
      </c>
      <c r="G453" s="43">
        <f>G454</f>
        <v>2501.8</v>
      </c>
      <c r="H453" s="43">
        <f>H454</f>
        <v>2501.8</v>
      </c>
    </row>
    <row r="454" spans="1:8" ht="15.75">
      <c r="A454" s="46" t="s">
        <v>42</v>
      </c>
      <c r="B454" s="42" t="s">
        <v>327</v>
      </c>
      <c r="C454" s="42" t="s">
        <v>43</v>
      </c>
      <c r="D454" s="43">
        <f>'2020-2022 год Приложение  4'!E494</f>
        <v>2501.8</v>
      </c>
      <c r="E454" s="43">
        <f>'2020-2022 год Приложение  4'!F494</f>
        <v>0</v>
      </c>
      <c r="F454" s="43">
        <f>'2020-2022 год Приложение  4'!G494</f>
        <v>2501.8</v>
      </c>
      <c r="G454" s="43">
        <f>'2020-2022 год Приложение  4'!H494</f>
        <v>2501.8</v>
      </c>
      <c r="H454" s="43">
        <f>'2020-2022 год Приложение  4'!I494</f>
        <v>2501.8</v>
      </c>
    </row>
    <row r="455" spans="1:8" ht="31.5">
      <c r="A455" s="46" t="s">
        <v>422</v>
      </c>
      <c r="B455" s="42" t="s">
        <v>421</v>
      </c>
      <c r="C455" s="42"/>
      <c r="D455" s="43">
        <f>D456</f>
        <v>10555.2</v>
      </c>
      <c r="E455" s="43">
        <f>E456</f>
        <v>2313.4</v>
      </c>
      <c r="F455" s="43">
        <f>F456</f>
        <v>12868.6</v>
      </c>
      <c r="G455" s="43">
        <f>G456</f>
        <v>0</v>
      </c>
      <c r="H455" s="43">
        <f>H456</f>
        <v>0</v>
      </c>
    </row>
    <row r="456" spans="1:8" ht="15.75">
      <c r="A456" s="46" t="s">
        <v>42</v>
      </c>
      <c r="B456" s="42" t="s">
        <v>421</v>
      </c>
      <c r="C456" s="42" t="s">
        <v>43</v>
      </c>
      <c r="D456" s="43">
        <f>'2020-2022 год Приложение  4'!E496</f>
        <v>10555.2</v>
      </c>
      <c r="E456" s="43">
        <f>'2020-2022 год Приложение  4'!F496</f>
        <v>2313.4</v>
      </c>
      <c r="F456" s="43">
        <f>'2020-2022 год Приложение  4'!G496</f>
        <v>12868.6</v>
      </c>
      <c r="G456" s="43">
        <f>'2020-2022 год Приложение  4'!H496</f>
        <v>0</v>
      </c>
      <c r="H456" s="43">
        <f>'2020-2022 год Приложение  4'!I496</f>
        <v>0</v>
      </c>
    </row>
    <row r="457" spans="1:8" ht="47.25">
      <c r="A457" s="67" t="s">
        <v>56</v>
      </c>
      <c r="B457" s="56" t="s">
        <v>107</v>
      </c>
      <c r="C457" s="56"/>
      <c r="D457" s="59">
        <f>D458</f>
        <v>450</v>
      </c>
      <c r="E457" s="59">
        <f>E458</f>
        <v>-450</v>
      </c>
      <c r="F457" s="59">
        <f>F458</f>
        <v>0</v>
      </c>
      <c r="G457" s="59">
        <f>G458</f>
        <v>0</v>
      </c>
      <c r="H457" s="59">
        <f>H458</f>
        <v>0</v>
      </c>
    </row>
    <row r="458" spans="1:8" ht="15.75">
      <c r="A458" s="55" t="s">
        <v>9</v>
      </c>
      <c r="B458" s="56" t="s">
        <v>107</v>
      </c>
      <c r="C458" s="56">
        <v>800</v>
      </c>
      <c r="D458" s="43">
        <f>'2020-2022 год Приложение  4'!E275</f>
        <v>450</v>
      </c>
      <c r="E458" s="43">
        <f>'2020-2022 год Приложение  4'!F275</f>
        <v>-450</v>
      </c>
      <c r="F458" s="43">
        <f>'2020-2022 год Приложение  4'!G275</f>
        <v>0</v>
      </c>
      <c r="G458" s="43">
        <f>'2020-2022 год Приложение  4'!H275</f>
        <v>0</v>
      </c>
      <c r="H458" s="43">
        <f>'2020-2022 год Приложение  4'!I275</f>
        <v>0</v>
      </c>
    </row>
    <row r="459" spans="1:8" ht="31.5">
      <c r="A459" s="98" t="s">
        <v>394</v>
      </c>
      <c r="B459" s="56" t="s">
        <v>393</v>
      </c>
      <c r="C459" s="56"/>
      <c r="D459" s="43">
        <f>D460</f>
        <v>20000</v>
      </c>
      <c r="E459" s="43">
        <f>E460</f>
        <v>0</v>
      </c>
      <c r="F459" s="43">
        <f>F460</f>
        <v>20000</v>
      </c>
      <c r="G459" s="43">
        <f>G460</f>
        <v>0</v>
      </c>
      <c r="H459" s="43">
        <f>H460</f>
        <v>0</v>
      </c>
    </row>
    <row r="460" spans="1:8" ht="15.75">
      <c r="A460" s="125" t="s">
        <v>9</v>
      </c>
      <c r="B460" s="56" t="s">
        <v>393</v>
      </c>
      <c r="C460" s="56">
        <v>800</v>
      </c>
      <c r="D460" s="43">
        <f>'2020-2022 год Приложение  4'!E498</f>
        <v>20000</v>
      </c>
      <c r="E460" s="43">
        <f>'2020-2022 год Приложение  4'!F498</f>
        <v>0</v>
      </c>
      <c r="F460" s="43">
        <f>D460+E460</f>
        <v>20000</v>
      </c>
      <c r="G460" s="43">
        <f>'2020-2022 год Приложение  4'!H498</f>
        <v>0</v>
      </c>
      <c r="H460" s="43">
        <f>'2020-2022 год Приложение  4'!I498</f>
        <v>0</v>
      </c>
    </row>
    <row r="461" spans="1:8" ht="21" customHeight="1">
      <c r="A461" s="104" t="s">
        <v>241</v>
      </c>
      <c r="B461" s="15" t="s">
        <v>242</v>
      </c>
      <c r="C461" s="105"/>
      <c r="D461" s="59">
        <f>'2020-2022 год Приложение  4'!E499</f>
        <v>0</v>
      </c>
      <c r="E461" s="59">
        <f>'2020-2022 год Приложение  4'!F499</f>
        <v>0</v>
      </c>
      <c r="F461" s="59">
        <f>'2020-2022 год Приложение  4'!G499</f>
        <v>0</v>
      </c>
      <c r="G461" s="59">
        <f>'2020-2022 год Приложение  4'!H499</f>
        <v>17457</v>
      </c>
      <c r="H461" s="59">
        <f>'2020-2022 год Приложение  4'!I499</f>
        <v>35777</v>
      </c>
    </row>
    <row r="464" spans="6:8" ht="12.75">
      <c r="F464" s="26"/>
      <c r="G464" s="26"/>
      <c r="H464" s="26"/>
    </row>
    <row r="465" spans="4:8" ht="12.75">
      <c r="D465" s="26">
        <f>D206+D230+D444+D446+D450+D452+D454+D426+D110+D456</f>
        <v>52208.8</v>
      </c>
      <c r="E465" s="26">
        <f>E206+E230+E444+E446+E450+E452+E454+E426+E110+E456</f>
        <v>2313.4</v>
      </c>
      <c r="F465" s="26"/>
      <c r="G465" s="26"/>
      <c r="H465" s="26"/>
    </row>
    <row r="467" spans="4:8" ht="21.75" customHeight="1">
      <c r="D467" s="26">
        <f>D263+D239+D233+D209+D158+D132+D115</f>
        <v>4303.6</v>
      </c>
      <c r="E467" s="26">
        <f>E263+E239+E233+E209+E158+E132+E115</f>
        <v>0</v>
      </c>
      <c r="F467" s="26"/>
      <c r="G467" s="26"/>
      <c r="H467" s="26"/>
    </row>
    <row r="469" spans="4:8" ht="9.75" customHeight="1">
      <c r="D469" s="26">
        <f>D128+D146+D148+D166+D438+D307+D378</f>
        <v>17562.5</v>
      </c>
      <c r="E469" s="26">
        <f>E128+E146+E148+E166+E438+E307+E378</f>
        <v>1116.8</v>
      </c>
      <c r="F469" s="26"/>
      <c r="G469" s="26"/>
      <c r="H469" s="26"/>
    </row>
    <row r="471" spans="4:8" ht="21.75" customHeight="1">
      <c r="D471" s="26">
        <f>D167+D237+D261</f>
        <v>19080.9</v>
      </c>
      <c r="E471" s="26">
        <f>E167+E237+E261</f>
        <v>0</v>
      </c>
      <c r="F471" s="26"/>
      <c r="G471" s="26"/>
      <c r="H471" s="26"/>
    </row>
  </sheetData>
  <sheetProtection/>
  <autoFilter ref="A14:H461"/>
  <mergeCells count="15">
    <mergeCell ref="G1:H1"/>
    <mergeCell ref="F2:H2"/>
    <mergeCell ref="F3:H3"/>
    <mergeCell ref="F4:H4"/>
    <mergeCell ref="A13:A14"/>
    <mergeCell ref="B6:H6"/>
    <mergeCell ref="B13:B14"/>
    <mergeCell ref="C13:C14"/>
    <mergeCell ref="F13:H13"/>
    <mergeCell ref="F7:H7"/>
    <mergeCell ref="F8:H8"/>
    <mergeCell ref="F9:H9"/>
    <mergeCell ref="A11:H11"/>
    <mergeCell ref="D13:D14"/>
    <mergeCell ref="E13:E1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2"/>
  <sheetViews>
    <sheetView zoomScale="95" zoomScaleNormal="95" zoomScaleSheetLayoutView="95" workbookViewId="0" topLeftCell="A1">
      <selection activeCell="J1" sqref="J1:P16384"/>
    </sheetView>
  </sheetViews>
  <sheetFormatPr defaultColWidth="9.140625" defaultRowHeight="12.75"/>
  <cols>
    <col min="1" max="1" width="63.00390625" style="0" customWidth="1"/>
    <col min="2" max="2" width="8.57421875" style="0" customWidth="1"/>
    <col min="3" max="3" width="16.57421875" style="0" customWidth="1"/>
    <col min="4" max="4" width="5.8515625" style="0" customWidth="1"/>
    <col min="5" max="5" width="13.8515625" style="0" hidden="1" customWidth="1"/>
    <col min="6" max="6" width="11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9.140625" style="0" customWidth="1"/>
  </cols>
  <sheetData>
    <row r="1" spans="8:9" ht="15.75">
      <c r="H1" s="19"/>
      <c r="I1" s="120" t="s">
        <v>219</v>
      </c>
    </row>
    <row r="2" spans="8:9" ht="12.75">
      <c r="H2" s="179" t="s">
        <v>238</v>
      </c>
      <c r="I2" s="179"/>
    </row>
    <row r="3" spans="2:9" ht="12.75">
      <c r="B3" s="179" t="s">
        <v>244</v>
      </c>
      <c r="C3" s="179"/>
      <c r="D3" s="179"/>
      <c r="E3" s="179"/>
      <c r="F3" s="179"/>
      <c r="G3" s="179"/>
      <c r="H3" s="179"/>
      <c r="I3" s="179"/>
    </row>
    <row r="4" spans="7:9" ht="12.75">
      <c r="G4" s="179" t="s">
        <v>478</v>
      </c>
      <c r="H4" s="179"/>
      <c r="I4" s="179"/>
    </row>
    <row r="6" spans="2:9" s="19" customFormat="1" ht="15.75">
      <c r="B6" s="171" t="s">
        <v>236</v>
      </c>
      <c r="C6" s="171"/>
      <c r="D6" s="171"/>
      <c r="E6" s="171"/>
      <c r="F6" s="171"/>
      <c r="G6" s="171"/>
      <c r="H6" s="171"/>
      <c r="I6" s="171"/>
    </row>
    <row r="7" spans="2:9" s="19" customFormat="1" ht="12.75">
      <c r="B7" s="175" t="s">
        <v>238</v>
      </c>
      <c r="C7" s="175"/>
      <c r="D7" s="175"/>
      <c r="E7" s="175"/>
      <c r="F7" s="175"/>
      <c r="G7" s="175"/>
      <c r="H7" s="175"/>
      <c r="I7" s="175"/>
    </row>
    <row r="8" spans="2:9" s="19" customFormat="1" ht="12.75">
      <c r="B8" s="175" t="s">
        <v>244</v>
      </c>
      <c r="C8" s="175"/>
      <c r="D8" s="175"/>
      <c r="E8" s="175"/>
      <c r="F8" s="175"/>
      <c r="G8" s="175"/>
      <c r="H8" s="175"/>
      <c r="I8" s="175"/>
    </row>
    <row r="9" spans="2:9" s="19" customFormat="1" ht="12.75">
      <c r="B9" s="175" t="s">
        <v>384</v>
      </c>
      <c r="C9" s="175"/>
      <c r="D9" s="175"/>
      <c r="E9" s="175"/>
      <c r="F9" s="175"/>
      <c r="G9" s="175"/>
      <c r="H9" s="175"/>
      <c r="I9" s="175"/>
    </row>
    <row r="10" spans="1:9" ht="18.75">
      <c r="A10" s="3"/>
      <c r="B10" s="3"/>
      <c r="C10" s="4"/>
      <c r="D10" s="4"/>
      <c r="E10" s="4"/>
      <c r="F10" s="4"/>
      <c r="G10" s="4"/>
      <c r="H10" s="4"/>
      <c r="I10" s="4"/>
    </row>
    <row r="11" spans="1:9" ht="53.25" customHeight="1">
      <c r="A11" s="181" t="s">
        <v>290</v>
      </c>
      <c r="B11" s="181"/>
      <c r="C11" s="181"/>
      <c r="D11" s="181"/>
      <c r="E11" s="181"/>
      <c r="F11" s="181"/>
      <c r="G11" s="181"/>
      <c r="H11" s="181"/>
      <c r="I11" s="181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9" ht="15.75" customHeight="1">
      <c r="A13" s="177" t="s">
        <v>3</v>
      </c>
      <c r="B13" s="177" t="s">
        <v>70</v>
      </c>
      <c r="C13" s="177" t="s">
        <v>1</v>
      </c>
      <c r="D13" s="177" t="s">
        <v>2</v>
      </c>
      <c r="E13" s="177" t="s">
        <v>420</v>
      </c>
      <c r="F13" s="177" t="s">
        <v>387</v>
      </c>
      <c r="G13" s="174" t="s">
        <v>240</v>
      </c>
      <c r="H13" s="174"/>
      <c r="I13" s="174"/>
    </row>
    <row r="14" spans="1:9" ht="40.5" customHeight="1">
      <c r="A14" s="180"/>
      <c r="B14" s="182"/>
      <c r="C14" s="178"/>
      <c r="D14" s="178"/>
      <c r="E14" s="178"/>
      <c r="F14" s="178"/>
      <c r="G14" s="103" t="s">
        <v>237</v>
      </c>
      <c r="H14" s="103" t="s">
        <v>239</v>
      </c>
      <c r="I14" s="103" t="s">
        <v>289</v>
      </c>
    </row>
    <row r="15" spans="1:9" ht="12.75">
      <c r="A15" s="68" t="s">
        <v>4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5</v>
      </c>
      <c r="H15" s="68">
        <v>6</v>
      </c>
      <c r="I15" s="68">
        <v>7</v>
      </c>
    </row>
    <row r="16" spans="1:9" ht="15.75">
      <c r="A16" s="5" t="s">
        <v>7</v>
      </c>
      <c r="B16" s="5"/>
      <c r="C16" s="5" t="s">
        <v>0</v>
      </c>
      <c r="D16" s="5" t="s">
        <v>0</v>
      </c>
      <c r="E16" s="6">
        <f>E17+E31+E276+E333+E374+E459</f>
        <v>2089169.3</v>
      </c>
      <c r="F16" s="6">
        <f>F17+F31+F276+F333+F374+F459</f>
        <v>28158.999999999996</v>
      </c>
      <c r="G16" s="6">
        <f>G17+G31+G276+G333+G374+G459</f>
        <v>2117328.3000000003</v>
      </c>
      <c r="H16" s="6">
        <f>H17+H31+H276+H333+H374+H459</f>
        <v>1846998.0999999999</v>
      </c>
      <c r="I16" s="6">
        <f>I17+I31+I276+I333+I374+I459</f>
        <v>1908919.3999999994</v>
      </c>
    </row>
    <row r="17" spans="1:9" ht="15.75">
      <c r="A17" s="69" t="s">
        <v>86</v>
      </c>
      <c r="B17" s="33" t="s">
        <v>71</v>
      </c>
      <c r="C17" s="30"/>
      <c r="D17" s="30"/>
      <c r="E17" s="31">
        <f>E18</f>
        <v>4474</v>
      </c>
      <c r="F17" s="31">
        <f>F18</f>
        <v>0</v>
      </c>
      <c r="G17" s="31">
        <f>G18</f>
        <v>4474</v>
      </c>
      <c r="H17" s="31">
        <f>H18</f>
        <v>4206.700000000001</v>
      </c>
      <c r="I17" s="31">
        <f>I18</f>
        <v>4269</v>
      </c>
    </row>
    <row r="18" spans="1:9" ht="15.75">
      <c r="A18" s="70" t="s">
        <v>30</v>
      </c>
      <c r="B18" s="71" t="s">
        <v>71</v>
      </c>
      <c r="C18" s="72" t="s">
        <v>96</v>
      </c>
      <c r="D18" s="72" t="s">
        <v>0</v>
      </c>
      <c r="E18" s="73">
        <f>E19+E21+E25+E29</f>
        <v>4474</v>
      </c>
      <c r="F18" s="73">
        <f>F19+F21+F25+F29</f>
        <v>0</v>
      </c>
      <c r="G18" s="73">
        <f>G19+G21+G25+G29</f>
        <v>4474</v>
      </c>
      <c r="H18" s="73">
        <f>H19+H21+H25+H29</f>
        <v>4206.700000000001</v>
      </c>
      <c r="I18" s="73">
        <f>I19+I21+I25+I29</f>
        <v>4269</v>
      </c>
    </row>
    <row r="19" spans="1:9" ht="31.5">
      <c r="A19" s="23" t="s">
        <v>72</v>
      </c>
      <c r="B19" s="21" t="s">
        <v>71</v>
      </c>
      <c r="C19" s="42" t="s">
        <v>105</v>
      </c>
      <c r="D19" s="21"/>
      <c r="E19" s="43">
        <f>E20</f>
        <v>1367.8</v>
      </c>
      <c r="F19" s="43">
        <f>F20</f>
        <v>353.4</v>
      </c>
      <c r="G19" s="43">
        <f>G20</f>
        <v>1721.1999999999998</v>
      </c>
      <c r="H19" s="43">
        <f>H20</f>
        <v>1335</v>
      </c>
      <c r="I19" s="43">
        <f>I20</f>
        <v>1367.8</v>
      </c>
    </row>
    <row r="20" spans="1:9" ht="63">
      <c r="A20" s="52" t="s">
        <v>14</v>
      </c>
      <c r="B20" s="21" t="s">
        <v>71</v>
      </c>
      <c r="C20" s="42" t="s">
        <v>105</v>
      </c>
      <c r="D20" s="21" t="s">
        <v>15</v>
      </c>
      <c r="E20" s="43">
        <v>1367.8</v>
      </c>
      <c r="F20" s="43">
        <f>12+136+205.4</f>
        <v>353.4</v>
      </c>
      <c r="G20" s="43">
        <f>E20+F20</f>
        <v>1721.1999999999998</v>
      </c>
      <c r="H20" s="43">
        <v>1335</v>
      </c>
      <c r="I20" s="43">
        <v>1367.8</v>
      </c>
    </row>
    <row r="21" spans="1:9" ht="31.5">
      <c r="A21" s="52" t="s">
        <v>31</v>
      </c>
      <c r="B21" s="21" t="s">
        <v>71</v>
      </c>
      <c r="C21" s="42" t="s">
        <v>106</v>
      </c>
      <c r="D21" s="42" t="s">
        <v>0</v>
      </c>
      <c r="E21" s="43">
        <f>E23+E24+E22</f>
        <v>327.2</v>
      </c>
      <c r="F21" s="43">
        <f>F23+F24+F22</f>
        <v>70</v>
      </c>
      <c r="G21" s="43">
        <f>G23+G24+G22</f>
        <v>397.2</v>
      </c>
      <c r="H21" s="43">
        <f>H23+H24+H22</f>
        <v>304.3</v>
      </c>
      <c r="I21" s="43">
        <f>I23+I24+I22</f>
        <v>312.2</v>
      </c>
    </row>
    <row r="22" spans="1:9" ht="63">
      <c r="A22" s="52" t="s">
        <v>14</v>
      </c>
      <c r="B22" s="21" t="s">
        <v>71</v>
      </c>
      <c r="C22" s="42" t="s">
        <v>106</v>
      </c>
      <c r="D22" s="42" t="s">
        <v>15</v>
      </c>
      <c r="E22" s="43">
        <v>1.5</v>
      </c>
      <c r="F22" s="87"/>
      <c r="G22" s="43">
        <f>E22+F22</f>
        <v>1.5</v>
      </c>
      <c r="H22" s="43">
        <v>0</v>
      </c>
      <c r="I22" s="43">
        <v>0</v>
      </c>
    </row>
    <row r="23" spans="1:9" ht="47.25" customHeight="1">
      <c r="A23" s="45" t="s">
        <v>449</v>
      </c>
      <c r="B23" s="21" t="s">
        <v>71</v>
      </c>
      <c r="C23" s="42" t="s">
        <v>106</v>
      </c>
      <c r="D23" s="42" t="s">
        <v>8</v>
      </c>
      <c r="E23" s="43">
        <v>322.5</v>
      </c>
      <c r="F23" s="43">
        <v>70</v>
      </c>
      <c r="G23" s="43">
        <f>E23+F23</f>
        <v>392.5</v>
      </c>
      <c r="H23" s="43">
        <v>301</v>
      </c>
      <c r="I23" s="43">
        <v>309</v>
      </c>
    </row>
    <row r="24" spans="1:9" ht="15.75">
      <c r="A24" s="45" t="s">
        <v>9</v>
      </c>
      <c r="B24" s="21" t="s">
        <v>71</v>
      </c>
      <c r="C24" s="42" t="s">
        <v>106</v>
      </c>
      <c r="D24" s="42" t="s">
        <v>12</v>
      </c>
      <c r="E24" s="43">
        <v>3.2</v>
      </c>
      <c r="F24" s="42"/>
      <c r="G24" s="43">
        <f>E24+F24</f>
        <v>3.2</v>
      </c>
      <c r="H24" s="43">
        <v>3.3</v>
      </c>
      <c r="I24" s="43">
        <v>3.2</v>
      </c>
    </row>
    <row r="25" spans="1:9" ht="31.5">
      <c r="A25" s="52" t="s">
        <v>32</v>
      </c>
      <c r="B25" s="21" t="s">
        <v>71</v>
      </c>
      <c r="C25" s="42" t="s">
        <v>104</v>
      </c>
      <c r="D25" s="42" t="s">
        <v>0</v>
      </c>
      <c r="E25" s="43">
        <f>E26+E27+E28</f>
        <v>2779.0000000000005</v>
      </c>
      <c r="F25" s="43">
        <f>F26+F27+F28</f>
        <v>-426.4</v>
      </c>
      <c r="G25" s="43">
        <f>G26+G27+G28</f>
        <v>2352.6000000000004</v>
      </c>
      <c r="H25" s="43">
        <f>H26+H27+H28</f>
        <v>2567.4000000000005</v>
      </c>
      <c r="I25" s="43">
        <f>I26+I27+I28</f>
        <v>2589</v>
      </c>
    </row>
    <row r="26" spans="1:9" ht="63">
      <c r="A26" s="52" t="s">
        <v>14</v>
      </c>
      <c r="B26" s="21" t="s">
        <v>71</v>
      </c>
      <c r="C26" s="42" t="s">
        <v>104</v>
      </c>
      <c r="D26" s="42" t="s">
        <v>15</v>
      </c>
      <c r="E26" s="43">
        <v>2482.8</v>
      </c>
      <c r="F26" s="43">
        <f>-12-136-205.4-70</f>
        <v>-423.4</v>
      </c>
      <c r="G26" s="43">
        <f>E26+F26</f>
        <v>2059.4</v>
      </c>
      <c r="H26" s="43">
        <v>2452.8</v>
      </c>
      <c r="I26" s="43">
        <v>2469.5</v>
      </c>
    </row>
    <row r="27" spans="1:9" ht="47.25">
      <c r="A27" s="45" t="s">
        <v>449</v>
      </c>
      <c r="B27" s="21" t="s">
        <v>71</v>
      </c>
      <c r="C27" s="42" t="s">
        <v>104</v>
      </c>
      <c r="D27" s="21" t="s">
        <v>8</v>
      </c>
      <c r="E27" s="43">
        <v>294.4</v>
      </c>
      <c r="F27" s="43">
        <v>-3</v>
      </c>
      <c r="G27" s="43">
        <f>E27+F27</f>
        <v>291.4</v>
      </c>
      <c r="H27" s="43">
        <v>112.8</v>
      </c>
      <c r="I27" s="43">
        <v>117.7</v>
      </c>
    </row>
    <row r="28" spans="1:9" ht="15.75">
      <c r="A28" s="45" t="s">
        <v>9</v>
      </c>
      <c r="B28" s="21" t="s">
        <v>71</v>
      </c>
      <c r="C28" s="42" t="s">
        <v>104</v>
      </c>
      <c r="D28" s="21" t="s">
        <v>12</v>
      </c>
      <c r="E28" s="43">
        <v>1.8</v>
      </c>
      <c r="F28" s="43">
        <v>0</v>
      </c>
      <c r="G28" s="43">
        <f>E28+F28</f>
        <v>1.8</v>
      </c>
      <c r="H28" s="43">
        <v>1.8</v>
      </c>
      <c r="I28" s="43">
        <v>1.8</v>
      </c>
    </row>
    <row r="29" spans="1:9" ht="31.5">
      <c r="A29" s="45" t="s">
        <v>60</v>
      </c>
      <c r="B29" s="27" t="s">
        <v>71</v>
      </c>
      <c r="C29" s="42" t="s">
        <v>103</v>
      </c>
      <c r="D29" s="60"/>
      <c r="E29" s="43">
        <f>E30</f>
        <v>0</v>
      </c>
      <c r="F29" s="43">
        <f>F30</f>
        <v>3</v>
      </c>
      <c r="G29" s="43">
        <f>G30</f>
        <v>3</v>
      </c>
      <c r="H29" s="43">
        <f>H30</f>
        <v>0</v>
      </c>
      <c r="I29" s="43">
        <f>I30</f>
        <v>0</v>
      </c>
    </row>
    <row r="30" spans="1:9" ht="15.75">
      <c r="A30" s="45" t="s">
        <v>9</v>
      </c>
      <c r="B30" s="21" t="s">
        <v>71</v>
      </c>
      <c r="C30" s="42" t="s">
        <v>103</v>
      </c>
      <c r="D30" s="21" t="s">
        <v>12</v>
      </c>
      <c r="E30" s="43">
        <v>0</v>
      </c>
      <c r="F30" s="43">
        <v>3</v>
      </c>
      <c r="G30" s="43">
        <f>E30+F30</f>
        <v>3</v>
      </c>
      <c r="H30" s="43">
        <v>0</v>
      </c>
      <c r="I30" s="43">
        <v>0</v>
      </c>
    </row>
    <row r="31" spans="1:9" ht="15.75">
      <c r="A31" s="32" t="s">
        <v>87</v>
      </c>
      <c r="B31" s="33" t="s">
        <v>73</v>
      </c>
      <c r="C31" s="74"/>
      <c r="D31" s="75"/>
      <c r="E31" s="34">
        <f>E32+E47+E54+E123+E148+E200+E223+E243+E110</f>
        <v>427846.30000000005</v>
      </c>
      <c r="F31" s="34">
        <f>F32+F47+F54+F123+F148+F200+F223+F243+F110</f>
        <v>20718.1</v>
      </c>
      <c r="G31" s="34">
        <f>G32+G47+G54+G123+G148+G200+G223+G243+G110</f>
        <v>448564.39999999997</v>
      </c>
      <c r="H31" s="34">
        <f>H32+H47+H54+H123+H148+H200+H223+H243+H110</f>
        <v>320787.19999999995</v>
      </c>
      <c r="I31" s="34">
        <f>I32+I47+I54+I123+I148+I200+I223+I243+I110</f>
        <v>319564.7</v>
      </c>
    </row>
    <row r="32" spans="1:9" ht="15.75">
      <c r="A32" s="76" t="s">
        <v>291</v>
      </c>
      <c r="B32" s="72" t="s">
        <v>73</v>
      </c>
      <c r="C32" s="71" t="s">
        <v>94</v>
      </c>
      <c r="D32" s="71" t="s">
        <v>0</v>
      </c>
      <c r="E32" s="77">
        <f>E36+E33</f>
        <v>1621.8</v>
      </c>
      <c r="F32" s="77">
        <f>F36+F33</f>
        <v>-274.5</v>
      </c>
      <c r="G32" s="77">
        <f>G36+G33</f>
        <v>1347.3</v>
      </c>
      <c r="H32" s="77">
        <f>H36+H33</f>
        <v>1049.3</v>
      </c>
      <c r="I32" s="77">
        <f>I36+I33</f>
        <v>1049.3</v>
      </c>
    </row>
    <row r="33" spans="1:9" ht="42.75" customHeight="1">
      <c r="A33" s="13" t="s">
        <v>292</v>
      </c>
      <c r="B33" s="78" t="s">
        <v>73</v>
      </c>
      <c r="C33" s="11" t="s">
        <v>207</v>
      </c>
      <c r="D33" s="11" t="s">
        <v>0</v>
      </c>
      <c r="E33" s="12">
        <f aca="true" t="shared" si="0" ref="E33:I34">E34</f>
        <v>100</v>
      </c>
      <c r="F33" s="12">
        <f t="shared" si="0"/>
        <v>-100</v>
      </c>
      <c r="G33" s="12">
        <f t="shared" si="0"/>
        <v>0</v>
      </c>
      <c r="H33" s="12">
        <f t="shared" si="0"/>
        <v>100</v>
      </c>
      <c r="I33" s="12">
        <f>I34</f>
        <v>100</v>
      </c>
    </row>
    <row r="34" spans="1:9" ht="31.5">
      <c r="A34" s="45" t="s">
        <v>218</v>
      </c>
      <c r="B34" s="27" t="s">
        <v>73</v>
      </c>
      <c r="C34" s="15" t="s">
        <v>216</v>
      </c>
      <c r="D34" s="42"/>
      <c r="E34" s="87">
        <f t="shared" si="0"/>
        <v>100</v>
      </c>
      <c r="F34" s="87">
        <f t="shared" si="0"/>
        <v>-100</v>
      </c>
      <c r="G34" s="87">
        <f t="shared" si="0"/>
        <v>0</v>
      </c>
      <c r="H34" s="87">
        <f t="shared" si="0"/>
        <v>100</v>
      </c>
      <c r="I34" s="87">
        <f t="shared" si="0"/>
        <v>100</v>
      </c>
    </row>
    <row r="35" spans="1:9" ht="47.25">
      <c r="A35" s="45" t="s">
        <v>449</v>
      </c>
      <c r="B35" s="27" t="s">
        <v>73</v>
      </c>
      <c r="C35" s="15" t="s">
        <v>216</v>
      </c>
      <c r="D35" s="42" t="s">
        <v>8</v>
      </c>
      <c r="E35" s="43">
        <v>100</v>
      </c>
      <c r="F35" s="43">
        <v>-100</v>
      </c>
      <c r="G35" s="43">
        <f>E35+F35</f>
        <v>0</v>
      </c>
      <c r="H35" s="43">
        <v>100</v>
      </c>
      <c r="I35" s="43">
        <v>100</v>
      </c>
    </row>
    <row r="36" spans="1:9" ht="15.75">
      <c r="A36" s="13" t="s">
        <v>293</v>
      </c>
      <c r="B36" s="78" t="s">
        <v>73</v>
      </c>
      <c r="C36" s="11" t="s">
        <v>95</v>
      </c>
      <c r="D36" s="11" t="s">
        <v>0</v>
      </c>
      <c r="E36" s="12">
        <f>E39+E37+E41+E45+E43</f>
        <v>1521.8</v>
      </c>
      <c r="F36" s="12">
        <f>F39+F37+F41+F45+F43</f>
        <v>-174.5</v>
      </c>
      <c r="G36" s="12">
        <f>G39+G37+G41+G45+G43</f>
        <v>1347.3</v>
      </c>
      <c r="H36" s="12">
        <f>H39+H37+H41+H45+H43</f>
        <v>949.3</v>
      </c>
      <c r="I36" s="12">
        <f>I39+I37+I41+I45+I43</f>
        <v>949.3</v>
      </c>
    </row>
    <row r="37" spans="1:9" ht="31.5">
      <c r="A37" s="45" t="s">
        <v>209</v>
      </c>
      <c r="B37" s="27" t="s">
        <v>73</v>
      </c>
      <c r="C37" s="15" t="s">
        <v>208</v>
      </c>
      <c r="D37" s="42"/>
      <c r="E37" s="87">
        <f>E38</f>
        <v>120</v>
      </c>
      <c r="F37" s="87">
        <f>F38</f>
        <v>0</v>
      </c>
      <c r="G37" s="87">
        <f>G38</f>
        <v>120</v>
      </c>
      <c r="H37" s="87">
        <f>H38</f>
        <v>120</v>
      </c>
      <c r="I37" s="87">
        <f>I38</f>
        <v>120</v>
      </c>
    </row>
    <row r="38" spans="1:9" ht="47.25">
      <c r="A38" s="45" t="s">
        <v>449</v>
      </c>
      <c r="B38" s="27" t="s">
        <v>73</v>
      </c>
      <c r="C38" s="15" t="s">
        <v>208</v>
      </c>
      <c r="D38" s="42" t="s">
        <v>8</v>
      </c>
      <c r="E38" s="43">
        <v>120</v>
      </c>
      <c r="F38" s="42"/>
      <c r="G38" s="43">
        <f>E38+F38</f>
        <v>120</v>
      </c>
      <c r="H38" s="43">
        <v>120</v>
      </c>
      <c r="I38" s="43">
        <v>120</v>
      </c>
    </row>
    <row r="39" spans="1:9" ht="45" customHeight="1">
      <c r="A39" s="45" t="s">
        <v>210</v>
      </c>
      <c r="B39" s="27" t="s">
        <v>73</v>
      </c>
      <c r="C39" s="15" t="s">
        <v>217</v>
      </c>
      <c r="D39" s="42"/>
      <c r="E39" s="88">
        <f>E40</f>
        <v>139.3</v>
      </c>
      <c r="F39" s="88">
        <f>F40</f>
        <v>0</v>
      </c>
      <c r="G39" s="88">
        <f>G40</f>
        <v>139.3</v>
      </c>
      <c r="H39" s="88">
        <f>H40</f>
        <v>139.3</v>
      </c>
      <c r="I39" s="88">
        <f>I40</f>
        <v>139.3</v>
      </c>
    </row>
    <row r="40" spans="1:9" ht="47.25">
      <c r="A40" s="45" t="s">
        <v>449</v>
      </c>
      <c r="B40" s="27" t="s">
        <v>73</v>
      </c>
      <c r="C40" s="15" t="s">
        <v>217</v>
      </c>
      <c r="D40" s="42" t="s">
        <v>8</v>
      </c>
      <c r="E40" s="43">
        <v>139.3</v>
      </c>
      <c r="F40" s="42"/>
      <c r="G40" s="43">
        <f>E40+F40</f>
        <v>139.3</v>
      </c>
      <c r="H40" s="43">
        <v>139.3</v>
      </c>
      <c r="I40" s="43">
        <v>139.3</v>
      </c>
    </row>
    <row r="41" spans="1:9" ht="31.5">
      <c r="A41" s="45" t="s">
        <v>235</v>
      </c>
      <c r="B41" s="27" t="s">
        <v>73</v>
      </c>
      <c r="C41" s="15" t="s">
        <v>234</v>
      </c>
      <c r="D41" s="42"/>
      <c r="E41" s="43">
        <f>E42</f>
        <v>690</v>
      </c>
      <c r="F41" s="43">
        <f>F42</f>
        <v>-174.5</v>
      </c>
      <c r="G41" s="43">
        <f>G42</f>
        <v>515.5</v>
      </c>
      <c r="H41" s="43">
        <f>H42</f>
        <v>690</v>
      </c>
      <c r="I41" s="43">
        <f>I42</f>
        <v>690</v>
      </c>
    </row>
    <row r="42" spans="1:9" ht="15.75">
      <c r="A42" s="45" t="s">
        <v>9</v>
      </c>
      <c r="B42" s="27" t="s">
        <v>73</v>
      </c>
      <c r="C42" s="15" t="s">
        <v>234</v>
      </c>
      <c r="D42" s="42" t="s">
        <v>12</v>
      </c>
      <c r="E42" s="43">
        <v>690</v>
      </c>
      <c r="F42" s="43">
        <v>-174.5</v>
      </c>
      <c r="G42" s="43">
        <f>E42+F42</f>
        <v>515.5</v>
      </c>
      <c r="H42" s="43">
        <v>690</v>
      </c>
      <c r="I42" s="43">
        <v>690</v>
      </c>
    </row>
    <row r="43" spans="1:9" ht="47.25">
      <c r="A43" s="45" t="s">
        <v>331</v>
      </c>
      <c r="B43" s="27" t="s">
        <v>73</v>
      </c>
      <c r="C43" s="15" t="s">
        <v>442</v>
      </c>
      <c r="D43" s="42"/>
      <c r="E43" s="43">
        <f>E44</f>
        <v>0.5</v>
      </c>
      <c r="F43" s="43">
        <f>F44</f>
        <v>0</v>
      </c>
      <c r="G43" s="43">
        <f>G44</f>
        <v>0.5</v>
      </c>
      <c r="H43" s="43">
        <f>H44</f>
        <v>0</v>
      </c>
      <c r="I43" s="43">
        <f>I44</f>
        <v>0</v>
      </c>
    </row>
    <row r="44" spans="1:9" ht="15.75">
      <c r="A44" s="45" t="s">
        <v>9</v>
      </c>
      <c r="B44" s="27" t="s">
        <v>73</v>
      </c>
      <c r="C44" s="15" t="s">
        <v>442</v>
      </c>
      <c r="D44" s="42" t="s">
        <v>12</v>
      </c>
      <c r="E44" s="43">
        <v>0.5</v>
      </c>
      <c r="F44" s="43"/>
      <c r="G44" s="43">
        <f>E44+F44</f>
        <v>0.5</v>
      </c>
      <c r="H44" s="43">
        <v>0</v>
      </c>
      <c r="I44" s="43">
        <v>0</v>
      </c>
    </row>
    <row r="45" spans="1:9" ht="63">
      <c r="A45" s="45" t="s">
        <v>437</v>
      </c>
      <c r="B45" s="27" t="s">
        <v>73</v>
      </c>
      <c r="C45" s="15" t="s">
        <v>438</v>
      </c>
      <c r="D45" s="42"/>
      <c r="E45" s="43">
        <f>E46</f>
        <v>572</v>
      </c>
      <c r="F45" s="47">
        <f>F46</f>
        <v>0</v>
      </c>
      <c r="G45" s="43">
        <f>G46</f>
        <v>572</v>
      </c>
      <c r="H45" s="43">
        <f>H46</f>
        <v>0</v>
      </c>
      <c r="I45" s="43">
        <f>I46</f>
        <v>0</v>
      </c>
    </row>
    <row r="46" spans="1:9" ht="15.75">
      <c r="A46" s="45" t="s">
        <v>9</v>
      </c>
      <c r="B46" s="27" t="s">
        <v>73</v>
      </c>
      <c r="C46" s="15" t="s">
        <v>438</v>
      </c>
      <c r="D46" s="42" t="s">
        <v>12</v>
      </c>
      <c r="E46" s="43">
        <v>572</v>
      </c>
      <c r="F46" s="47"/>
      <c r="G46" s="43">
        <f>E46+F46</f>
        <v>572</v>
      </c>
      <c r="H46" s="43">
        <v>0</v>
      </c>
      <c r="I46" s="43">
        <v>0</v>
      </c>
    </row>
    <row r="47" spans="1:9" ht="32.25" customHeight="1">
      <c r="A47" s="76" t="s">
        <v>294</v>
      </c>
      <c r="B47" s="72" t="s">
        <v>73</v>
      </c>
      <c r="C47" s="71" t="s">
        <v>145</v>
      </c>
      <c r="D47" s="71" t="s">
        <v>0</v>
      </c>
      <c r="E47" s="77">
        <f>E48+E51</f>
        <v>1088.5</v>
      </c>
      <c r="F47" s="77">
        <f>F48+F51</f>
        <v>-318.3</v>
      </c>
      <c r="G47" s="77">
        <f>G48+G51</f>
        <v>770.2</v>
      </c>
      <c r="H47" s="77">
        <f>H48+H51</f>
        <v>120</v>
      </c>
      <c r="I47" s="77">
        <f>I48+I51</f>
        <v>120</v>
      </c>
    </row>
    <row r="48" spans="1:9" ht="15.75">
      <c r="A48" s="10" t="s">
        <v>295</v>
      </c>
      <c r="B48" s="78" t="s">
        <v>73</v>
      </c>
      <c r="C48" s="11" t="s">
        <v>146</v>
      </c>
      <c r="D48" s="11" t="s">
        <v>0</v>
      </c>
      <c r="E48" s="12">
        <f aca="true" t="shared" si="1" ref="E48:I49">E49</f>
        <v>120</v>
      </c>
      <c r="F48" s="12">
        <f t="shared" si="1"/>
        <v>0</v>
      </c>
      <c r="G48" s="12">
        <f t="shared" si="1"/>
        <v>120</v>
      </c>
      <c r="H48" s="12">
        <f t="shared" si="1"/>
        <v>120</v>
      </c>
      <c r="I48" s="12">
        <f>I49</f>
        <v>120</v>
      </c>
    </row>
    <row r="49" spans="1:9" ht="15.75">
      <c r="A49" s="14" t="s">
        <v>23</v>
      </c>
      <c r="B49" s="27" t="s">
        <v>73</v>
      </c>
      <c r="C49" s="7" t="s">
        <v>329</v>
      </c>
      <c r="D49" s="7"/>
      <c r="E49" s="8">
        <f t="shared" si="1"/>
        <v>120</v>
      </c>
      <c r="F49" s="8">
        <f t="shared" si="1"/>
        <v>0</v>
      </c>
      <c r="G49" s="8">
        <f t="shared" si="1"/>
        <v>120</v>
      </c>
      <c r="H49" s="8">
        <f t="shared" si="1"/>
        <v>120</v>
      </c>
      <c r="I49" s="8">
        <f t="shared" si="1"/>
        <v>120</v>
      </c>
    </row>
    <row r="50" spans="1:9" ht="47.25">
      <c r="A50" s="45" t="s">
        <v>449</v>
      </c>
      <c r="B50" s="42" t="s">
        <v>73</v>
      </c>
      <c r="C50" s="7" t="s">
        <v>329</v>
      </c>
      <c r="D50" s="42" t="s">
        <v>8</v>
      </c>
      <c r="E50" s="43">
        <v>120</v>
      </c>
      <c r="F50" s="42"/>
      <c r="G50" s="43">
        <v>120</v>
      </c>
      <c r="H50" s="43">
        <v>120</v>
      </c>
      <c r="I50" s="43">
        <v>120</v>
      </c>
    </row>
    <row r="51" spans="1:9" ht="31.5">
      <c r="A51" s="10" t="s">
        <v>296</v>
      </c>
      <c r="B51" s="78" t="s">
        <v>73</v>
      </c>
      <c r="C51" s="11" t="s">
        <v>286</v>
      </c>
      <c r="D51" s="11"/>
      <c r="E51" s="12">
        <f aca="true" t="shared" si="2" ref="E51:I52">E52</f>
        <v>968.5</v>
      </c>
      <c r="F51" s="12">
        <f>F52</f>
        <v>-318.3</v>
      </c>
      <c r="G51" s="12">
        <f t="shared" si="2"/>
        <v>650.2</v>
      </c>
      <c r="H51" s="12">
        <f t="shared" si="2"/>
        <v>0</v>
      </c>
      <c r="I51" s="12">
        <f t="shared" si="2"/>
        <v>0</v>
      </c>
    </row>
    <row r="52" spans="1:9" ht="31.5">
      <c r="A52" s="14" t="s">
        <v>287</v>
      </c>
      <c r="B52" s="27" t="s">
        <v>73</v>
      </c>
      <c r="C52" s="7" t="s">
        <v>330</v>
      </c>
      <c r="D52" s="7"/>
      <c r="E52" s="43">
        <f t="shared" si="2"/>
        <v>968.5</v>
      </c>
      <c r="F52" s="43">
        <f t="shared" si="2"/>
        <v>-318.3</v>
      </c>
      <c r="G52" s="43">
        <f t="shared" si="2"/>
        <v>650.2</v>
      </c>
      <c r="H52" s="43">
        <f t="shared" si="2"/>
        <v>0</v>
      </c>
      <c r="I52" s="43">
        <f t="shared" si="2"/>
        <v>0</v>
      </c>
    </row>
    <row r="53" spans="1:9" ht="47.25">
      <c r="A53" s="45" t="s">
        <v>449</v>
      </c>
      <c r="B53" s="42" t="s">
        <v>73</v>
      </c>
      <c r="C53" s="7" t="s">
        <v>330</v>
      </c>
      <c r="D53" s="42" t="s">
        <v>8</v>
      </c>
      <c r="E53" s="43">
        <v>968.5</v>
      </c>
      <c r="F53" s="43">
        <v>-318.3</v>
      </c>
      <c r="G53" s="43">
        <f>E53+F53</f>
        <v>650.2</v>
      </c>
      <c r="H53" s="43">
        <v>0</v>
      </c>
      <c r="I53" s="43">
        <v>0</v>
      </c>
    </row>
    <row r="54" spans="1:9" ht="31.5">
      <c r="A54" s="76" t="s">
        <v>297</v>
      </c>
      <c r="B54" s="72" t="s">
        <v>73</v>
      </c>
      <c r="C54" s="71" t="s">
        <v>173</v>
      </c>
      <c r="D54" s="71" t="s">
        <v>0</v>
      </c>
      <c r="E54" s="77">
        <f>E55+E64+E100+E83+E105</f>
        <v>168312.10000000003</v>
      </c>
      <c r="F54" s="77">
        <f>F55+F64+F100+F83+F105</f>
        <v>-4157</v>
      </c>
      <c r="G54" s="77">
        <f>G55+G64+G100+G83+G105</f>
        <v>164155.1</v>
      </c>
      <c r="H54" s="77">
        <f>H55+H64+H100+H83+H105</f>
        <v>92257.29999999999</v>
      </c>
      <c r="I54" s="77">
        <f>I55+I64+I100+I83+I105</f>
        <v>94160.5</v>
      </c>
    </row>
    <row r="55" spans="1:9" ht="31.5">
      <c r="A55" s="10" t="s">
        <v>298</v>
      </c>
      <c r="B55" s="78" t="s">
        <v>73</v>
      </c>
      <c r="C55" s="11" t="s">
        <v>174</v>
      </c>
      <c r="D55" s="11" t="s">
        <v>0</v>
      </c>
      <c r="E55" s="12">
        <f>E56+E60+E62+E58</f>
        <v>34696</v>
      </c>
      <c r="F55" s="12">
        <f>F56+F60+F62+F58</f>
        <v>-5167</v>
      </c>
      <c r="G55" s="12">
        <f>G56+G60+G62+G58</f>
        <v>29529</v>
      </c>
      <c r="H55" s="12">
        <f>H56+H60+H62+H58</f>
        <v>18611.6</v>
      </c>
      <c r="I55" s="12">
        <f>I56+I60+I62+I58</f>
        <v>22804</v>
      </c>
    </row>
    <row r="56" spans="1:9" ht="31.5">
      <c r="A56" s="14" t="s">
        <v>228</v>
      </c>
      <c r="B56" s="27" t="s">
        <v>73</v>
      </c>
      <c r="C56" s="42" t="s">
        <v>339</v>
      </c>
      <c r="D56" s="7"/>
      <c r="E56" s="8">
        <f>E57</f>
        <v>8643.3</v>
      </c>
      <c r="F56" s="8">
        <f>F57</f>
        <v>2999.6</v>
      </c>
      <c r="G56" s="8">
        <f>G57</f>
        <v>11642.9</v>
      </c>
      <c r="H56" s="8">
        <f>H57</f>
        <v>1751.4</v>
      </c>
      <c r="I56" s="8">
        <f>I57</f>
        <v>7000</v>
      </c>
    </row>
    <row r="57" spans="1:9" ht="47.25">
      <c r="A57" s="45" t="s">
        <v>449</v>
      </c>
      <c r="B57" s="42" t="s">
        <v>73</v>
      </c>
      <c r="C57" s="42" t="s">
        <v>339</v>
      </c>
      <c r="D57" s="42" t="s">
        <v>8</v>
      </c>
      <c r="E57" s="36">
        <v>8643.3</v>
      </c>
      <c r="F57" s="36">
        <f>-686.3+3685.8+0.1</f>
        <v>2999.6</v>
      </c>
      <c r="G57" s="43">
        <f>E57+F57</f>
        <v>11642.9</v>
      </c>
      <c r="H57" s="43">
        <f>7565.5-4565.5-288.6-960</f>
        <v>1751.4</v>
      </c>
      <c r="I57" s="43">
        <f>2000+5000</f>
        <v>7000</v>
      </c>
    </row>
    <row r="58" spans="1:9" ht="47.25">
      <c r="A58" s="14" t="s">
        <v>340</v>
      </c>
      <c r="B58" s="42" t="s">
        <v>73</v>
      </c>
      <c r="C58" s="42" t="s">
        <v>341</v>
      </c>
      <c r="D58" s="42"/>
      <c r="E58" s="43">
        <f>E59</f>
        <v>94</v>
      </c>
      <c r="F58" s="43">
        <f>F59</f>
        <v>0</v>
      </c>
      <c r="G58" s="43">
        <f>G59</f>
        <v>94</v>
      </c>
      <c r="H58" s="43">
        <f>H59</f>
        <v>0</v>
      </c>
      <c r="I58" s="43">
        <f>I59</f>
        <v>0</v>
      </c>
    </row>
    <row r="59" spans="1:9" ht="47.25">
      <c r="A59" s="45" t="s">
        <v>449</v>
      </c>
      <c r="B59" s="42" t="s">
        <v>73</v>
      </c>
      <c r="C59" s="42" t="s">
        <v>341</v>
      </c>
      <c r="D59" s="42" t="s">
        <v>8</v>
      </c>
      <c r="E59" s="43">
        <v>94</v>
      </c>
      <c r="F59" s="42"/>
      <c r="G59" s="43">
        <v>94</v>
      </c>
      <c r="H59" s="43">
        <v>0</v>
      </c>
      <c r="I59" s="43">
        <v>0</v>
      </c>
    </row>
    <row r="60" spans="1:9" ht="31.5">
      <c r="A60" s="18" t="s">
        <v>45</v>
      </c>
      <c r="B60" s="42" t="s">
        <v>73</v>
      </c>
      <c r="C60" s="42" t="s">
        <v>342</v>
      </c>
      <c r="D60" s="9"/>
      <c r="E60" s="8">
        <f>E61</f>
        <v>19133.7</v>
      </c>
      <c r="F60" s="8">
        <f>F61</f>
        <v>-8166.6</v>
      </c>
      <c r="G60" s="8">
        <f>G61</f>
        <v>10967.1</v>
      </c>
      <c r="H60" s="8">
        <f>H61</f>
        <v>10035.2</v>
      </c>
      <c r="I60" s="8">
        <f>I61</f>
        <v>8979</v>
      </c>
    </row>
    <row r="61" spans="1:9" ht="47.25">
      <c r="A61" s="45" t="s">
        <v>449</v>
      </c>
      <c r="B61" s="42" t="s">
        <v>73</v>
      </c>
      <c r="C61" s="42" t="s">
        <v>342</v>
      </c>
      <c r="D61" s="42" t="s">
        <v>8</v>
      </c>
      <c r="E61" s="43">
        <v>19133.7</v>
      </c>
      <c r="F61" s="36">
        <f>-8381.1+214.5</f>
        <v>-8166.6</v>
      </c>
      <c r="G61" s="43">
        <f>E61+F61</f>
        <v>10967.1</v>
      </c>
      <c r="H61" s="43">
        <v>10035.2</v>
      </c>
      <c r="I61" s="43">
        <f>8979</f>
        <v>8979</v>
      </c>
    </row>
    <row r="62" spans="1:9" ht="47.25">
      <c r="A62" s="40" t="s">
        <v>65</v>
      </c>
      <c r="B62" s="42" t="s">
        <v>73</v>
      </c>
      <c r="C62" s="27" t="s">
        <v>343</v>
      </c>
      <c r="D62" s="57"/>
      <c r="E62" s="20">
        <f>E63</f>
        <v>6825</v>
      </c>
      <c r="F62" s="20">
        <f>F63</f>
        <v>0</v>
      </c>
      <c r="G62" s="20">
        <f>G63</f>
        <v>6825</v>
      </c>
      <c r="H62" s="20">
        <f>H63</f>
        <v>6825</v>
      </c>
      <c r="I62" s="20">
        <f>I63</f>
        <v>6825</v>
      </c>
    </row>
    <row r="63" spans="1:9" ht="15.75">
      <c r="A63" s="45" t="s">
        <v>9</v>
      </c>
      <c r="B63" s="42" t="s">
        <v>73</v>
      </c>
      <c r="C63" s="27" t="s">
        <v>343</v>
      </c>
      <c r="D63" s="42" t="s">
        <v>12</v>
      </c>
      <c r="E63" s="43">
        <v>6825</v>
      </c>
      <c r="F63" s="42"/>
      <c r="G63" s="43">
        <v>6825</v>
      </c>
      <c r="H63" s="43">
        <v>6825</v>
      </c>
      <c r="I63" s="43">
        <v>6825</v>
      </c>
    </row>
    <row r="64" spans="1:9" ht="68.25" customHeight="1">
      <c r="A64" s="10" t="s">
        <v>373</v>
      </c>
      <c r="B64" s="78" t="s">
        <v>73</v>
      </c>
      <c r="C64" s="11" t="s">
        <v>175</v>
      </c>
      <c r="D64" s="11" t="s">
        <v>0</v>
      </c>
      <c r="E64" s="12">
        <f>E79+E81+E75+E71+E69+E73+E77+E65+E67</f>
        <v>92806.30000000002</v>
      </c>
      <c r="F64" s="12">
        <f>F79+F81+F75+F71+F69+F73+F77+F65+F67</f>
        <v>3535.3</v>
      </c>
      <c r="G64" s="12">
        <f>G79+G81+G75+G71+G69+G73+G77+G65+G67</f>
        <v>96341.60000000002</v>
      </c>
      <c r="H64" s="12">
        <f>H79+H81+H75+H71+H69+H73+H77+H65+H67</f>
        <v>34821.200000000004</v>
      </c>
      <c r="I64" s="12">
        <f>I79+I81+I75+I71+I69+I73+I77+I65+I67</f>
        <v>32392.5</v>
      </c>
    </row>
    <row r="65" spans="1:9" ht="78.75">
      <c r="A65" s="22" t="s">
        <v>462</v>
      </c>
      <c r="B65" s="42" t="s">
        <v>73</v>
      </c>
      <c r="C65" s="27" t="s">
        <v>461</v>
      </c>
      <c r="D65" s="42"/>
      <c r="E65" s="43">
        <f>E66</f>
        <v>0</v>
      </c>
      <c r="F65" s="43">
        <f>F66</f>
        <v>308.1</v>
      </c>
      <c r="G65" s="43">
        <f>G66</f>
        <v>308.1</v>
      </c>
      <c r="H65" s="43">
        <f>H66</f>
        <v>0</v>
      </c>
      <c r="I65" s="43">
        <f>I66</f>
        <v>0</v>
      </c>
    </row>
    <row r="66" spans="1:9" ht="47.25">
      <c r="A66" s="45" t="s">
        <v>449</v>
      </c>
      <c r="B66" s="42" t="s">
        <v>73</v>
      </c>
      <c r="C66" s="27" t="s">
        <v>461</v>
      </c>
      <c r="D66" s="42" t="s">
        <v>8</v>
      </c>
      <c r="E66" s="43">
        <v>0</v>
      </c>
      <c r="F66" s="43">
        <f>169.5-161.4+300</f>
        <v>308.1</v>
      </c>
      <c r="G66" s="43">
        <f>E66+F66</f>
        <v>308.1</v>
      </c>
      <c r="H66" s="43">
        <v>0</v>
      </c>
      <c r="I66" s="43">
        <v>0</v>
      </c>
    </row>
    <row r="67" spans="1:9" ht="27.75" customHeight="1">
      <c r="A67" s="22" t="s">
        <v>472</v>
      </c>
      <c r="B67" s="42" t="s">
        <v>73</v>
      </c>
      <c r="C67" s="27" t="s">
        <v>471</v>
      </c>
      <c r="D67" s="42"/>
      <c r="E67" s="43">
        <f>E68</f>
        <v>0</v>
      </c>
      <c r="F67" s="43">
        <f>F68</f>
        <v>3227.2000000000003</v>
      </c>
      <c r="G67" s="43">
        <f>G68</f>
        <v>3227.2000000000003</v>
      </c>
      <c r="H67" s="43">
        <f>H68</f>
        <v>0</v>
      </c>
      <c r="I67" s="43">
        <f>I68</f>
        <v>0</v>
      </c>
    </row>
    <row r="68" spans="1:9" ht="47.25">
      <c r="A68" s="45" t="s">
        <v>449</v>
      </c>
      <c r="B68" s="42" t="s">
        <v>73</v>
      </c>
      <c r="C68" s="27" t="s">
        <v>471</v>
      </c>
      <c r="D68" s="42" t="s">
        <v>8</v>
      </c>
      <c r="E68" s="43">
        <v>0</v>
      </c>
      <c r="F68" s="43">
        <f>3065.8+161.4</f>
        <v>3227.2000000000003</v>
      </c>
      <c r="G68" s="43">
        <f>E68+F68</f>
        <v>3227.2000000000003</v>
      </c>
      <c r="H68" s="43">
        <v>0</v>
      </c>
      <c r="I68" s="43">
        <v>0</v>
      </c>
    </row>
    <row r="69" spans="1:9" ht="31.5">
      <c r="A69" s="22" t="s">
        <v>347</v>
      </c>
      <c r="B69" s="42" t="s">
        <v>73</v>
      </c>
      <c r="C69" s="27" t="s">
        <v>348</v>
      </c>
      <c r="D69" s="42"/>
      <c r="E69" s="43">
        <f>E70</f>
        <v>100</v>
      </c>
      <c r="F69" s="43">
        <f>F70</f>
        <v>0</v>
      </c>
      <c r="G69" s="43">
        <f>G70</f>
        <v>100</v>
      </c>
      <c r="H69" s="43">
        <f>H70</f>
        <v>100</v>
      </c>
      <c r="I69" s="43">
        <f>I70</f>
        <v>100</v>
      </c>
    </row>
    <row r="70" spans="1:9" ht="47.25">
      <c r="A70" s="45" t="s">
        <v>449</v>
      </c>
      <c r="B70" s="42" t="s">
        <v>73</v>
      </c>
      <c r="C70" s="27" t="s">
        <v>348</v>
      </c>
      <c r="D70" s="42" t="s">
        <v>8</v>
      </c>
      <c r="E70" s="43">
        <v>100</v>
      </c>
      <c r="F70" s="43"/>
      <c r="G70" s="43">
        <v>100</v>
      </c>
      <c r="H70" s="43">
        <v>100</v>
      </c>
      <c r="I70" s="43">
        <v>100</v>
      </c>
    </row>
    <row r="71" spans="1:9" ht="47.25">
      <c r="A71" s="22" t="s">
        <v>246</v>
      </c>
      <c r="B71" s="42" t="s">
        <v>73</v>
      </c>
      <c r="C71" s="27" t="s">
        <v>344</v>
      </c>
      <c r="D71" s="42"/>
      <c r="E71" s="43">
        <f>E72</f>
        <v>157.1</v>
      </c>
      <c r="F71" s="43">
        <f>F72</f>
        <v>0</v>
      </c>
      <c r="G71" s="43">
        <f>G72</f>
        <v>157.1</v>
      </c>
      <c r="H71" s="43">
        <f>H72</f>
        <v>1151.3999999999996</v>
      </c>
      <c r="I71" s="43">
        <f>I72</f>
        <v>0</v>
      </c>
    </row>
    <row r="72" spans="1:9" ht="47.25">
      <c r="A72" s="45" t="s">
        <v>449</v>
      </c>
      <c r="B72" s="42" t="s">
        <v>73</v>
      </c>
      <c r="C72" s="27" t="s">
        <v>344</v>
      </c>
      <c r="D72" s="42" t="s">
        <v>8</v>
      </c>
      <c r="E72" s="43">
        <v>157.1</v>
      </c>
      <c r="F72" s="148"/>
      <c r="G72" s="43">
        <f>E72+F72</f>
        <v>157.1</v>
      </c>
      <c r="H72" s="43">
        <f>10840.9+570.6-10260.1</f>
        <v>1151.3999999999996</v>
      </c>
      <c r="I72" s="43">
        <v>0</v>
      </c>
    </row>
    <row r="73" spans="1:9" ht="31.5">
      <c r="A73" s="22" t="s">
        <v>345</v>
      </c>
      <c r="B73" s="42" t="s">
        <v>73</v>
      </c>
      <c r="C73" s="27" t="s">
        <v>346</v>
      </c>
      <c r="D73" s="42"/>
      <c r="E73" s="43">
        <f>E74</f>
        <v>92.1</v>
      </c>
      <c r="F73" s="43">
        <f>F74</f>
        <v>0</v>
      </c>
      <c r="G73" s="43">
        <f>G74</f>
        <v>92.1</v>
      </c>
      <c r="H73" s="43">
        <f>H74</f>
        <v>100</v>
      </c>
      <c r="I73" s="43">
        <f>I74</f>
        <v>100</v>
      </c>
    </row>
    <row r="74" spans="1:9" ht="47.25">
      <c r="A74" s="45" t="s">
        <v>449</v>
      </c>
      <c r="B74" s="42" t="s">
        <v>73</v>
      </c>
      <c r="C74" s="27" t="s">
        <v>346</v>
      </c>
      <c r="D74" s="42" t="s">
        <v>8</v>
      </c>
      <c r="E74" s="43">
        <v>92.1</v>
      </c>
      <c r="F74" s="148"/>
      <c r="G74" s="43">
        <f>E74+F74</f>
        <v>92.1</v>
      </c>
      <c r="H74" s="43">
        <v>100</v>
      </c>
      <c r="I74" s="43">
        <v>100</v>
      </c>
    </row>
    <row r="75" spans="1:9" ht="78.75" customHeight="1">
      <c r="A75" s="51" t="s">
        <v>335</v>
      </c>
      <c r="B75" s="42" t="s">
        <v>73</v>
      </c>
      <c r="C75" s="21" t="s">
        <v>374</v>
      </c>
      <c r="D75" s="21"/>
      <c r="E75" s="43">
        <f>E76</f>
        <v>78144.1</v>
      </c>
      <c r="F75" s="47">
        <f>F76</f>
        <v>0</v>
      </c>
      <c r="G75" s="43">
        <f>G76</f>
        <v>78144.1</v>
      </c>
      <c r="H75" s="43">
        <f>H76</f>
        <v>31579</v>
      </c>
      <c r="I75" s="43">
        <f>I76</f>
        <v>31579</v>
      </c>
    </row>
    <row r="76" spans="1:9" ht="31.5">
      <c r="A76" s="98" t="s">
        <v>29</v>
      </c>
      <c r="B76" s="42" t="s">
        <v>73</v>
      </c>
      <c r="C76" s="21" t="s">
        <v>374</v>
      </c>
      <c r="D76" s="21" t="s">
        <v>24</v>
      </c>
      <c r="E76" s="43">
        <v>78144.1</v>
      </c>
      <c r="F76" s="150">
        <v>0</v>
      </c>
      <c r="G76" s="43">
        <f>F76+E76</f>
        <v>78144.1</v>
      </c>
      <c r="H76" s="20">
        <f>30000+1579</f>
        <v>31579</v>
      </c>
      <c r="I76" s="20">
        <f>30000+1579</f>
        <v>31579</v>
      </c>
    </row>
    <row r="77" spans="1:9" ht="31.5">
      <c r="A77" s="98" t="s">
        <v>276</v>
      </c>
      <c r="B77" s="27" t="s">
        <v>73</v>
      </c>
      <c r="C77" s="35" t="s">
        <v>427</v>
      </c>
      <c r="D77" s="35"/>
      <c r="E77" s="43">
        <f>E78</f>
        <v>13597.4</v>
      </c>
      <c r="F77" s="43">
        <f>F78</f>
        <v>0</v>
      </c>
      <c r="G77" s="43">
        <f>G78</f>
        <v>13597.4</v>
      </c>
      <c r="H77" s="43">
        <f>H78</f>
        <v>0</v>
      </c>
      <c r="I77" s="43">
        <f>I78</f>
        <v>0</v>
      </c>
    </row>
    <row r="78" spans="1:9" ht="31.5">
      <c r="A78" s="98" t="s">
        <v>29</v>
      </c>
      <c r="B78" s="27" t="s">
        <v>73</v>
      </c>
      <c r="C78" s="35" t="s">
        <v>427</v>
      </c>
      <c r="D78" s="35" t="s">
        <v>24</v>
      </c>
      <c r="E78" s="43">
        <v>13597.4</v>
      </c>
      <c r="F78" s="137"/>
      <c r="G78" s="43">
        <f>E78+F78</f>
        <v>13597.4</v>
      </c>
      <c r="H78" s="20">
        <v>0</v>
      </c>
      <c r="I78" s="20">
        <v>0</v>
      </c>
    </row>
    <row r="79" spans="1:9" ht="31.5">
      <c r="A79" s="98" t="s">
        <v>276</v>
      </c>
      <c r="B79" s="27" t="s">
        <v>73</v>
      </c>
      <c r="C79" s="35" t="s">
        <v>282</v>
      </c>
      <c r="D79" s="35"/>
      <c r="E79" s="43">
        <f>E80</f>
        <v>572.5</v>
      </c>
      <c r="F79" s="43">
        <f>F80</f>
        <v>0</v>
      </c>
      <c r="G79" s="43">
        <f>G80</f>
        <v>572.5</v>
      </c>
      <c r="H79" s="43">
        <f>H80</f>
        <v>1392.1000000000001</v>
      </c>
      <c r="I79" s="43">
        <f>I80</f>
        <v>613.5</v>
      </c>
    </row>
    <row r="80" spans="1:9" ht="31.5">
      <c r="A80" s="98" t="s">
        <v>29</v>
      </c>
      <c r="B80" s="27" t="s">
        <v>73</v>
      </c>
      <c r="C80" s="35" t="s">
        <v>282</v>
      </c>
      <c r="D80" s="35" t="s">
        <v>24</v>
      </c>
      <c r="E80" s="36">
        <v>572.5</v>
      </c>
      <c r="F80" s="127"/>
      <c r="G80" s="36">
        <f>E80+F80</f>
        <v>572.5</v>
      </c>
      <c r="H80" s="43">
        <f>1994.9-602.8</f>
        <v>1392.1000000000001</v>
      </c>
      <c r="I80" s="43">
        <v>613.5</v>
      </c>
    </row>
    <row r="81" spans="1:9" ht="31.5">
      <c r="A81" s="98" t="s">
        <v>276</v>
      </c>
      <c r="B81" s="27" t="s">
        <v>73</v>
      </c>
      <c r="C81" s="35" t="s">
        <v>283</v>
      </c>
      <c r="D81" s="35"/>
      <c r="E81" s="36">
        <f>E82</f>
        <v>143.1</v>
      </c>
      <c r="F81" s="134">
        <f>F82</f>
        <v>0</v>
      </c>
      <c r="G81" s="36">
        <f>G82</f>
        <v>143.1</v>
      </c>
      <c r="H81" s="36">
        <f>H82</f>
        <v>498.7</v>
      </c>
      <c r="I81" s="36">
        <f>I82</f>
        <v>0</v>
      </c>
    </row>
    <row r="82" spans="1:9" ht="31.5">
      <c r="A82" s="98" t="s">
        <v>29</v>
      </c>
      <c r="B82" s="27" t="s">
        <v>73</v>
      </c>
      <c r="C82" s="35" t="s">
        <v>283</v>
      </c>
      <c r="D82" s="35" t="s">
        <v>24</v>
      </c>
      <c r="E82" s="36">
        <v>143.1</v>
      </c>
      <c r="F82" s="132"/>
      <c r="G82" s="36">
        <f>E82+F82</f>
        <v>143.1</v>
      </c>
      <c r="H82" s="36">
        <v>498.7</v>
      </c>
      <c r="I82" s="36">
        <v>0</v>
      </c>
    </row>
    <row r="83" spans="1:9" ht="31.5" customHeight="1">
      <c r="A83" s="10" t="s">
        <v>317</v>
      </c>
      <c r="B83" s="78" t="s">
        <v>73</v>
      </c>
      <c r="C83" s="11" t="s">
        <v>176</v>
      </c>
      <c r="D83" s="11" t="s">
        <v>0</v>
      </c>
      <c r="E83" s="12">
        <f>E84+E86+E90+E98+E88+E92+E94+E96</f>
        <v>36964.1</v>
      </c>
      <c r="F83" s="12">
        <f>F84+F86+F90+F98+F88+F92+F94+F96</f>
        <v>0</v>
      </c>
      <c r="G83" s="12">
        <f>G84+G86+G90+G98+G88+G92+G94+G96</f>
        <v>36964.1</v>
      </c>
      <c r="H83" s="12">
        <f>H84+H86+H90+H98+H88+H92+H94+H96</f>
        <v>37562.6</v>
      </c>
      <c r="I83" s="12">
        <f>I84+I86+I90+I98+I88+I92+I94+I96</f>
        <v>37702.1</v>
      </c>
    </row>
    <row r="84" spans="1:9" ht="44.25" customHeight="1">
      <c r="A84" s="14" t="s">
        <v>37</v>
      </c>
      <c r="B84" s="42" t="s">
        <v>73</v>
      </c>
      <c r="C84" s="42" t="s">
        <v>349</v>
      </c>
      <c r="D84" s="57"/>
      <c r="E84" s="43">
        <f>E85</f>
        <v>5087.1</v>
      </c>
      <c r="F84" s="43">
        <f>F85</f>
        <v>0</v>
      </c>
      <c r="G84" s="43">
        <f>G85</f>
        <v>5087.1</v>
      </c>
      <c r="H84" s="43">
        <f>H85</f>
        <v>5358</v>
      </c>
      <c r="I84" s="43">
        <f>I85</f>
        <v>5630</v>
      </c>
    </row>
    <row r="85" spans="1:9" ht="47.25">
      <c r="A85" s="45" t="s">
        <v>449</v>
      </c>
      <c r="B85" s="42" t="s">
        <v>73</v>
      </c>
      <c r="C85" s="42" t="s">
        <v>349</v>
      </c>
      <c r="D85" s="42" t="s">
        <v>8</v>
      </c>
      <c r="E85" s="47">
        <f>5148.6-61.5</f>
        <v>5087.1</v>
      </c>
      <c r="F85" s="42"/>
      <c r="G85" s="47">
        <f>5148.6-61.5</f>
        <v>5087.1</v>
      </c>
      <c r="H85" s="47">
        <f>5419.5-61.5</f>
        <v>5358</v>
      </c>
      <c r="I85" s="47">
        <f>5691.5-61.5</f>
        <v>5630</v>
      </c>
    </row>
    <row r="86" spans="1:9" ht="47.25">
      <c r="A86" s="14" t="s">
        <v>37</v>
      </c>
      <c r="B86" s="42" t="s">
        <v>73</v>
      </c>
      <c r="C86" s="15" t="s">
        <v>350</v>
      </c>
      <c r="D86" s="15"/>
      <c r="E86" s="43">
        <f>E87</f>
        <v>1229.4</v>
      </c>
      <c r="F86" s="43">
        <f>F87</f>
        <v>0</v>
      </c>
      <c r="G86" s="43">
        <f>G87</f>
        <v>1229.4</v>
      </c>
      <c r="H86" s="43">
        <f>H87</f>
        <v>1229.4</v>
      </c>
      <c r="I86" s="43">
        <f>I87</f>
        <v>1229.4</v>
      </c>
    </row>
    <row r="87" spans="1:9" ht="47.25">
      <c r="A87" s="45" t="s">
        <v>449</v>
      </c>
      <c r="B87" s="42" t="s">
        <v>73</v>
      </c>
      <c r="C87" s="15" t="s">
        <v>350</v>
      </c>
      <c r="D87" s="42" t="s">
        <v>8</v>
      </c>
      <c r="E87" s="43">
        <f>1167.9+61.5</f>
        <v>1229.4</v>
      </c>
      <c r="F87" s="42"/>
      <c r="G87" s="43">
        <f>1167.9+61.5</f>
        <v>1229.4</v>
      </c>
      <c r="H87" s="43">
        <f>1167.9+61.5</f>
        <v>1229.4</v>
      </c>
      <c r="I87" s="43">
        <f>1167.9+61.5</f>
        <v>1229.4</v>
      </c>
    </row>
    <row r="88" spans="1:9" ht="31.5">
      <c r="A88" s="45" t="s">
        <v>38</v>
      </c>
      <c r="B88" s="42" t="s">
        <v>73</v>
      </c>
      <c r="C88" s="21" t="s">
        <v>177</v>
      </c>
      <c r="D88" s="21"/>
      <c r="E88" s="43">
        <f>E89</f>
        <v>8855.3</v>
      </c>
      <c r="F88" s="43">
        <f>F89</f>
        <v>0</v>
      </c>
      <c r="G88" s="43">
        <f>G89</f>
        <v>8855.3</v>
      </c>
      <c r="H88" s="43">
        <f>H89</f>
        <v>8600.8</v>
      </c>
      <c r="I88" s="43">
        <f>I89</f>
        <v>9298.8</v>
      </c>
    </row>
    <row r="89" spans="1:9" ht="47.25">
      <c r="A89" s="45" t="s">
        <v>449</v>
      </c>
      <c r="B89" s="42" t="s">
        <v>73</v>
      </c>
      <c r="C89" s="21" t="s">
        <v>177</v>
      </c>
      <c r="D89" s="21" t="s">
        <v>8</v>
      </c>
      <c r="E89" s="43">
        <f>7845.4-124.5+600-300+834.4</f>
        <v>8855.3</v>
      </c>
      <c r="F89" s="21"/>
      <c r="G89" s="43">
        <f>7845.4-124.5+600-300+834.4</f>
        <v>8855.3</v>
      </c>
      <c r="H89" s="43">
        <f>8167.7-124.5+571.6-14</f>
        <v>8600.8</v>
      </c>
      <c r="I89" s="43">
        <f>8506-124.5+966.3-49</f>
        <v>9298.8</v>
      </c>
    </row>
    <row r="90" spans="1:9" ht="31.5">
      <c r="A90" s="40" t="s">
        <v>38</v>
      </c>
      <c r="B90" s="42" t="s">
        <v>73</v>
      </c>
      <c r="C90" s="15" t="s">
        <v>351</v>
      </c>
      <c r="D90" s="42"/>
      <c r="E90" s="43">
        <f>E91</f>
        <v>12445</v>
      </c>
      <c r="F90" s="43">
        <f>F91</f>
        <v>0</v>
      </c>
      <c r="G90" s="43">
        <f>G91</f>
        <v>12445</v>
      </c>
      <c r="H90" s="43">
        <f>H91</f>
        <v>12445</v>
      </c>
      <c r="I90" s="43">
        <f>I91</f>
        <v>12445</v>
      </c>
    </row>
    <row r="91" spans="1:9" ht="47.25">
      <c r="A91" s="45" t="s">
        <v>449</v>
      </c>
      <c r="B91" s="42" t="s">
        <v>73</v>
      </c>
      <c r="C91" s="15" t="s">
        <v>351</v>
      </c>
      <c r="D91" s="42" t="s">
        <v>8</v>
      </c>
      <c r="E91" s="43">
        <f>12320.5+124.5</f>
        <v>12445</v>
      </c>
      <c r="F91" s="42"/>
      <c r="G91" s="43">
        <f>12320.5+124.5</f>
        <v>12445</v>
      </c>
      <c r="H91" s="43">
        <f>12320.5+124.5</f>
        <v>12445</v>
      </c>
      <c r="I91" s="43">
        <f>12320.5+124.5</f>
        <v>12445</v>
      </c>
    </row>
    <row r="92" spans="1:9" ht="47.25">
      <c r="A92" s="40" t="s">
        <v>203</v>
      </c>
      <c r="B92" s="42" t="s">
        <v>73</v>
      </c>
      <c r="C92" s="15" t="s">
        <v>178</v>
      </c>
      <c r="D92" s="42"/>
      <c r="E92" s="43">
        <f>E93</f>
        <v>6596.5</v>
      </c>
      <c r="F92" s="43">
        <f>F93</f>
        <v>0</v>
      </c>
      <c r="G92" s="43">
        <f>G93</f>
        <v>6596.5</v>
      </c>
      <c r="H92" s="43">
        <f>H93</f>
        <v>6628</v>
      </c>
      <c r="I92" s="43">
        <f>I93</f>
        <v>6054.1</v>
      </c>
    </row>
    <row r="93" spans="1:9" ht="47.25">
      <c r="A93" s="45" t="s">
        <v>449</v>
      </c>
      <c r="B93" s="42" t="s">
        <v>73</v>
      </c>
      <c r="C93" s="15" t="s">
        <v>178</v>
      </c>
      <c r="D93" s="42" t="s">
        <v>8</v>
      </c>
      <c r="E93" s="43">
        <f>6996.5-400</f>
        <v>6596.5</v>
      </c>
      <c r="F93" s="42"/>
      <c r="G93" s="43">
        <f>6996.5-400</f>
        <v>6596.5</v>
      </c>
      <c r="H93" s="43">
        <v>6628</v>
      </c>
      <c r="I93" s="43">
        <f>3566.3+2461+26.8</f>
        <v>6054.1</v>
      </c>
    </row>
    <row r="94" spans="1:9" ht="15.75">
      <c r="A94" s="45" t="s">
        <v>204</v>
      </c>
      <c r="B94" s="42" t="s">
        <v>73</v>
      </c>
      <c r="C94" s="15" t="s">
        <v>205</v>
      </c>
      <c r="D94" s="42"/>
      <c r="E94" s="43">
        <f>E95</f>
        <v>473</v>
      </c>
      <c r="F94" s="43">
        <f>F95</f>
        <v>0</v>
      </c>
      <c r="G94" s="43">
        <f>G95</f>
        <v>473</v>
      </c>
      <c r="H94" s="43">
        <f>H95</f>
        <v>706.6</v>
      </c>
      <c r="I94" s="43">
        <f>I95</f>
        <v>450</v>
      </c>
    </row>
    <row r="95" spans="1:9" ht="47.25">
      <c r="A95" s="45" t="s">
        <v>449</v>
      </c>
      <c r="B95" s="42" t="s">
        <v>73</v>
      </c>
      <c r="C95" s="15" t="s">
        <v>205</v>
      </c>
      <c r="D95" s="42" t="s">
        <v>8</v>
      </c>
      <c r="E95" s="43">
        <v>473</v>
      </c>
      <c r="F95" s="43"/>
      <c r="G95" s="43">
        <f>E95+F95</f>
        <v>473</v>
      </c>
      <c r="H95" s="43">
        <f>418+288.6</f>
        <v>706.6</v>
      </c>
      <c r="I95" s="43">
        <v>450</v>
      </c>
    </row>
    <row r="96" spans="1:9" ht="63">
      <c r="A96" s="40" t="s">
        <v>39</v>
      </c>
      <c r="B96" s="42" t="s">
        <v>73</v>
      </c>
      <c r="C96" s="35" t="s">
        <v>439</v>
      </c>
      <c r="D96" s="42"/>
      <c r="E96" s="43">
        <f>E97</f>
        <v>195.9</v>
      </c>
      <c r="F96" s="43">
        <f>F97</f>
        <v>0</v>
      </c>
      <c r="G96" s="43">
        <f>G97</f>
        <v>195.9</v>
      </c>
      <c r="H96" s="43">
        <f>H97</f>
        <v>0</v>
      </c>
      <c r="I96" s="43">
        <f>I97</f>
        <v>0</v>
      </c>
    </row>
    <row r="97" spans="1:9" ht="15.75">
      <c r="A97" s="45" t="s">
        <v>9</v>
      </c>
      <c r="B97" s="42" t="s">
        <v>73</v>
      </c>
      <c r="C97" s="35" t="s">
        <v>439</v>
      </c>
      <c r="D97" s="42" t="s">
        <v>12</v>
      </c>
      <c r="E97" s="43">
        <v>195.9</v>
      </c>
      <c r="F97" s="43"/>
      <c r="G97" s="43">
        <f>E97+F97</f>
        <v>195.9</v>
      </c>
      <c r="H97" s="43">
        <v>0</v>
      </c>
      <c r="I97" s="43">
        <v>0</v>
      </c>
    </row>
    <row r="98" spans="1:9" ht="63">
      <c r="A98" s="40" t="s">
        <v>39</v>
      </c>
      <c r="B98" s="42" t="s">
        <v>73</v>
      </c>
      <c r="C98" s="35" t="s">
        <v>352</v>
      </c>
      <c r="D98" s="42"/>
      <c r="E98" s="43">
        <f>E99</f>
        <v>2081.9</v>
      </c>
      <c r="F98" s="43">
        <f>F99</f>
        <v>0</v>
      </c>
      <c r="G98" s="43">
        <f>G99</f>
        <v>2081.9</v>
      </c>
      <c r="H98" s="43">
        <f>H99</f>
        <v>2594.8</v>
      </c>
      <c r="I98" s="43">
        <f>I99</f>
        <v>2594.8</v>
      </c>
    </row>
    <row r="99" spans="1:9" ht="15.75">
      <c r="A99" s="45" t="s">
        <v>9</v>
      </c>
      <c r="B99" s="42" t="s">
        <v>73</v>
      </c>
      <c r="C99" s="35" t="s">
        <v>352</v>
      </c>
      <c r="D99" s="42" t="s">
        <v>12</v>
      </c>
      <c r="E99" s="43">
        <v>2081.9</v>
      </c>
      <c r="F99" s="43"/>
      <c r="G99" s="43">
        <f>E99+F99</f>
        <v>2081.9</v>
      </c>
      <c r="H99" s="43">
        <f>2294.8+300</f>
        <v>2594.8</v>
      </c>
      <c r="I99" s="43">
        <f>2294.8+300</f>
        <v>2594.8</v>
      </c>
    </row>
    <row r="100" spans="1:9" ht="31.5">
      <c r="A100" s="10" t="s">
        <v>299</v>
      </c>
      <c r="B100" s="78" t="s">
        <v>73</v>
      </c>
      <c r="C100" s="11" t="s">
        <v>179</v>
      </c>
      <c r="D100" s="11" t="s">
        <v>0</v>
      </c>
      <c r="E100" s="12">
        <f>E103+E101</f>
        <v>270.5</v>
      </c>
      <c r="F100" s="12">
        <f>F103+F101</f>
        <v>0</v>
      </c>
      <c r="G100" s="12">
        <f>G103+G101</f>
        <v>270.5</v>
      </c>
      <c r="H100" s="12">
        <f>H103+H101</f>
        <v>212</v>
      </c>
      <c r="I100" s="12">
        <f>I103+I101</f>
        <v>212</v>
      </c>
    </row>
    <row r="101" spans="1:9" ht="31.5">
      <c r="A101" s="22" t="s">
        <v>58</v>
      </c>
      <c r="B101" s="27" t="s">
        <v>73</v>
      </c>
      <c r="C101" s="15" t="s">
        <v>353</v>
      </c>
      <c r="D101" s="42"/>
      <c r="E101" s="20">
        <f>E102</f>
        <v>50</v>
      </c>
      <c r="F101" s="20">
        <f>F102</f>
        <v>0</v>
      </c>
      <c r="G101" s="20">
        <f>G102</f>
        <v>50</v>
      </c>
      <c r="H101" s="20">
        <f>H102</f>
        <v>50</v>
      </c>
      <c r="I101" s="20">
        <f>I102</f>
        <v>50</v>
      </c>
    </row>
    <row r="102" spans="1:9" ht="15.75">
      <c r="A102" s="40" t="s">
        <v>27</v>
      </c>
      <c r="B102" s="42" t="s">
        <v>73</v>
      </c>
      <c r="C102" s="15" t="s">
        <v>353</v>
      </c>
      <c r="D102" s="42" t="s">
        <v>16</v>
      </c>
      <c r="E102" s="43">
        <v>50</v>
      </c>
      <c r="F102" s="42"/>
      <c r="G102" s="43">
        <v>50</v>
      </c>
      <c r="H102" s="43">
        <v>50</v>
      </c>
      <c r="I102" s="43">
        <v>50</v>
      </c>
    </row>
    <row r="103" spans="1:9" ht="31.5">
      <c r="A103" s="40" t="s">
        <v>46</v>
      </c>
      <c r="B103" s="42" t="s">
        <v>73</v>
      </c>
      <c r="C103" s="15" t="s">
        <v>180</v>
      </c>
      <c r="D103" s="21"/>
      <c r="E103" s="20">
        <f>E104</f>
        <v>220.5</v>
      </c>
      <c r="F103" s="20">
        <f>F104</f>
        <v>0</v>
      </c>
      <c r="G103" s="20">
        <f>G104</f>
        <v>220.5</v>
      </c>
      <c r="H103" s="20">
        <f>H104</f>
        <v>162</v>
      </c>
      <c r="I103" s="20">
        <f>I104</f>
        <v>162</v>
      </c>
    </row>
    <row r="104" spans="1:9" ht="47.25">
      <c r="A104" s="45" t="s">
        <v>449</v>
      </c>
      <c r="B104" s="42" t="s">
        <v>73</v>
      </c>
      <c r="C104" s="15" t="s">
        <v>180</v>
      </c>
      <c r="D104" s="42" t="s">
        <v>8</v>
      </c>
      <c r="E104" s="43">
        <v>220.5</v>
      </c>
      <c r="F104" s="42"/>
      <c r="G104" s="43">
        <v>220.5</v>
      </c>
      <c r="H104" s="43">
        <v>162</v>
      </c>
      <c r="I104" s="43">
        <v>162</v>
      </c>
    </row>
    <row r="105" spans="1:9" ht="31.5">
      <c r="A105" s="10" t="s">
        <v>318</v>
      </c>
      <c r="B105" s="78" t="s">
        <v>73</v>
      </c>
      <c r="C105" s="11" t="s">
        <v>215</v>
      </c>
      <c r="D105" s="11" t="s">
        <v>0</v>
      </c>
      <c r="E105" s="12">
        <f>E106+E108</f>
        <v>3575.2000000000003</v>
      </c>
      <c r="F105" s="12">
        <f>F106+F108</f>
        <v>-2525.3</v>
      </c>
      <c r="G105" s="12">
        <f>G106+G108</f>
        <v>1049.9</v>
      </c>
      <c r="H105" s="12">
        <f>H106+H108</f>
        <v>1049.9</v>
      </c>
      <c r="I105" s="12">
        <f>I106+I108</f>
        <v>1049.9</v>
      </c>
    </row>
    <row r="106" spans="1:9" ht="86.25" customHeight="1">
      <c r="A106" s="23" t="s">
        <v>460</v>
      </c>
      <c r="B106" s="42" t="s">
        <v>73</v>
      </c>
      <c r="C106" s="35" t="s">
        <v>354</v>
      </c>
      <c r="D106" s="97"/>
      <c r="E106" s="96">
        <f>E107</f>
        <v>1049.9</v>
      </c>
      <c r="F106" s="96">
        <f>F107</f>
        <v>0</v>
      </c>
      <c r="G106" s="96">
        <f>G107</f>
        <v>1049.9</v>
      </c>
      <c r="H106" s="96">
        <f>H107</f>
        <v>1049.9</v>
      </c>
      <c r="I106" s="96">
        <f>I107</f>
        <v>1049.9</v>
      </c>
    </row>
    <row r="107" spans="1:9" ht="47.25">
      <c r="A107" s="45" t="s">
        <v>449</v>
      </c>
      <c r="B107" s="42" t="s">
        <v>73</v>
      </c>
      <c r="C107" s="35" t="s">
        <v>354</v>
      </c>
      <c r="D107" s="97" t="s">
        <v>8</v>
      </c>
      <c r="E107" s="96">
        <v>1049.9</v>
      </c>
      <c r="F107" s="97"/>
      <c r="G107" s="96">
        <v>1049.9</v>
      </c>
      <c r="H107" s="96">
        <v>1049.9</v>
      </c>
      <c r="I107" s="96">
        <v>1049.9</v>
      </c>
    </row>
    <row r="108" spans="1:9" ht="62.25" customHeight="1">
      <c r="A108" s="23" t="s">
        <v>441</v>
      </c>
      <c r="B108" s="42" t="s">
        <v>73</v>
      </c>
      <c r="C108" s="35" t="s">
        <v>440</v>
      </c>
      <c r="D108" s="97"/>
      <c r="E108" s="96">
        <f>E109</f>
        <v>2525.3</v>
      </c>
      <c r="F108" s="96">
        <f>F109</f>
        <v>-2525.3</v>
      </c>
      <c r="G108" s="96">
        <f>G109</f>
        <v>0</v>
      </c>
      <c r="H108" s="96">
        <f>H109</f>
        <v>0</v>
      </c>
      <c r="I108" s="96">
        <f>I109</f>
        <v>0</v>
      </c>
    </row>
    <row r="109" spans="1:9" ht="15.75">
      <c r="A109" s="46" t="s">
        <v>42</v>
      </c>
      <c r="B109" s="42" t="s">
        <v>73</v>
      </c>
      <c r="C109" s="7" t="s">
        <v>440</v>
      </c>
      <c r="D109" s="21" t="s">
        <v>43</v>
      </c>
      <c r="E109" s="96">
        <v>2525.3</v>
      </c>
      <c r="F109" s="20">
        <v>-2525.3</v>
      </c>
      <c r="G109" s="96">
        <f>E109+F109</f>
        <v>0</v>
      </c>
      <c r="H109" s="96">
        <v>0</v>
      </c>
      <c r="I109" s="96">
        <v>0</v>
      </c>
    </row>
    <row r="110" spans="1:9" ht="15.75">
      <c r="A110" s="76" t="s">
        <v>300</v>
      </c>
      <c r="B110" s="72" t="s">
        <v>73</v>
      </c>
      <c r="C110" s="71" t="s">
        <v>109</v>
      </c>
      <c r="D110" s="71" t="s">
        <v>0</v>
      </c>
      <c r="E110" s="77">
        <f>E111</f>
        <v>800</v>
      </c>
      <c r="F110" s="77">
        <f>F111</f>
        <v>-200</v>
      </c>
      <c r="G110" s="77">
        <f>G111</f>
        <v>600</v>
      </c>
      <c r="H110" s="77">
        <f>H111</f>
        <v>800</v>
      </c>
      <c r="I110" s="77">
        <f>I111</f>
        <v>800</v>
      </c>
    </row>
    <row r="111" spans="1:9" ht="15.75">
      <c r="A111" s="10" t="s">
        <v>303</v>
      </c>
      <c r="B111" s="81" t="s">
        <v>73</v>
      </c>
      <c r="C111" s="11" t="s">
        <v>116</v>
      </c>
      <c r="D111" s="11" t="s">
        <v>0</v>
      </c>
      <c r="E111" s="12">
        <f>E112+E117+E120+E115</f>
        <v>800</v>
      </c>
      <c r="F111" s="12">
        <f>F112+F117+F120+F115</f>
        <v>-200</v>
      </c>
      <c r="G111" s="12">
        <f>G112+G117+G120+G115</f>
        <v>600</v>
      </c>
      <c r="H111" s="12">
        <f>H112+H117+H120+H115</f>
        <v>800</v>
      </c>
      <c r="I111" s="12">
        <f>I112+I117+I120+I115</f>
        <v>800</v>
      </c>
    </row>
    <row r="112" spans="1:9" ht="15.75">
      <c r="A112" s="40" t="s">
        <v>69</v>
      </c>
      <c r="B112" s="42" t="s">
        <v>73</v>
      </c>
      <c r="C112" s="42" t="s">
        <v>367</v>
      </c>
      <c r="D112" s="42"/>
      <c r="E112" s="43">
        <f>E113+E114</f>
        <v>500</v>
      </c>
      <c r="F112" s="43">
        <f>F113+F114</f>
        <v>-200</v>
      </c>
      <c r="G112" s="43">
        <f>G113+G114</f>
        <v>300</v>
      </c>
      <c r="H112" s="43">
        <f>H113+H114</f>
        <v>500</v>
      </c>
      <c r="I112" s="43">
        <f>I113+I114</f>
        <v>500</v>
      </c>
    </row>
    <row r="113" spans="1:9" ht="47.25">
      <c r="A113" s="45" t="s">
        <v>449</v>
      </c>
      <c r="B113" s="42" t="s">
        <v>73</v>
      </c>
      <c r="C113" s="42" t="s">
        <v>367</v>
      </c>
      <c r="D113" s="42" t="s">
        <v>8</v>
      </c>
      <c r="E113" s="37">
        <v>300</v>
      </c>
      <c r="F113" s="37">
        <v>-200</v>
      </c>
      <c r="G113" s="37">
        <f>E113+F113</f>
        <v>100</v>
      </c>
      <c r="H113" s="37">
        <v>300</v>
      </c>
      <c r="I113" s="37">
        <v>300</v>
      </c>
    </row>
    <row r="114" spans="1:9" ht="15.75">
      <c r="A114" s="40" t="s">
        <v>27</v>
      </c>
      <c r="B114" s="42" t="s">
        <v>73</v>
      </c>
      <c r="C114" s="42" t="s">
        <v>367</v>
      </c>
      <c r="D114" s="42" t="s">
        <v>16</v>
      </c>
      <c r="E114" s="37">
        <v>200</v>
      </c>
      <c r="F114" s="42"/>
      <c r="G114" s="37">
        <v>200</v>
      </c>
      <c r="H114" s="37">
        <v>200</v>
      </c>
      <c r="I114" s="37">
        <v>200</v>
      </c>
    </row>
    <row r="115" spans="1:9" ht="35.25" customHeight="1">
      <c r="A115" s="41" t="s">
        <v>370</v>
      </c>
      <c r="B115" s="27" t="s">
        <v>73</v>
      </c>
      <c r="C115" s="27" t="s">
        <v>371</v>
      </c>
      <c r="D115" s="27"/>
      <c r="E115" s="37">
        <f>E116</f>
        <v>50</v>
      </c>
      <c r="F115" s="37">
        <f>F116</f>
        <v>0</v>
      </c>
      <c r="G115" s="37">
        <f>G116</f>
        <v>50</v>
      </c>
      <c r="H115" s="37">
        <f>H116</f>
        <v>50</v>
      </c>
      <c r="I115" s="37">
        <f>I116</f>
        <v>50</v>
      </c>
    </row>
    <row r="116" spans="1:9" ht="47.25">
      <c r="A116" s="45" t="s">
        <v>449</v>
      </c>
      <c r="B116" s="27" t="s">
        <v>73</v>
      </c>
      <c r="C116" s="27" t="s">
        <v>371</v>
      </c>
      <c r="D116" s="27" t="s">
        <v>8</v>
      </c>
      <c r="E116" s="37">
        <v>50</v>
      </c>
      <c r="F116" s="27"/>
      <c r="G116" s="37">
        <v>50</v>
      </c>
      <c r="H116" s="37">
        <v>50</v>
      </c>
      <c r="I116" s="37">
        <v>50</v>
      </c>
    </row>
    <row r="117" spans="1:9" ht="31.5">
      <c r="A117" s="40" t="s">
        <v>92</v>
      </c>
      <c r="B117" s="42" t="s">
        <v>73</v>
      </c>
      <c r="C117" s="42" t="s">
        <v>123</v>
      </c>
      <c r="D117" s="42"/>
      <c r="E117" s="43">
        <f>E118+E119</f>
        <v>150</v>
      </c>
      <c r="F117" s="43">
        <f>F118+F119</f>
        <v>0</v>
      </c>
      <c r="G117" s="43">
        <f>G118+G119</f>
        <v>150</v>
      </c>
      <c r="H117" s="43">
        <f>H118+H119</f>
        <v>150</v>
      </c>
      <c r="I117" s="43">
        <f>I118+I119</f>
        <v>150</v>
      </c>
    </row>
    <row r="118" spans="1:9" ht="63">
      <c r="A118" s="153" t="s">
        <v>14</v>
      </c>
      <c r="B118" s="42" t="s">
        <v>73</v>
      </c>
      <c r="C118" s="42" t="s">
        <v>123</v>
      </c>
      <c r="D118" s="42" t="s">
        <v>15</v>
      </c>
      <c r="E118" s="43">
        <v>15</v>
      </c>
      <c r="F118" s="42"/>
      <c r="G118" s="43">
        <v>15</v>
      </c>
      <c r="H118" s="43">
        <v>15</v>
      </c>
      <c r="I118" s="43">
        <v>15</v>
      </c>
    </row>
    <row r="119" spans="1:9" ht="47.25">
      <c r="A119" s="45" t="s">
        <v>449</v>
      </c>
      <c r="B119" s="42" t="s">
        <v>73</v>
      </c>
      <c r="C119" s="42" t="s">
        <v>123</v>
      </c>
      <c r="D119" s="42" t="s">
        <v>8</v>
      </c>
      <c r="E119" s="43">
        <v>135</v>
      </c>
      <c r="F119" s="42"/>
      <c r="G119" s="43">
        <v>135</v>
      </c>
      <c r="H119" s="43">
        <v>135</v>
      </c>
      <c r="I119" s="43">
        <v>135</v>
      </c>
    </row>
    <row r="120" spans="1:9" ht="32.25" customHeight="1">
      <c r="A120" s="40" t="s">
        <v>93</v>
      </c>
      <c r="B120" s="42" t="s">
        <v>73</v>
      </c>
      <c r="C120" s="42" t="s">
        <v>124</v>
      </c>
      <c r="D120" s="42"/>
      <c r="E120" s="43">
        <f>E122+E121</f>
        <v>100</v>
      </c>
      <c r="F120" s="43">
        <f>F122+F121</f>
        <v>0</v>
      </c>
      <c r="G120" s="43">
        <f>G122+G121</f>
        <v>100</v>
      </c>
      <c r="H120" s="43">
        <f>H122+H121</f>
        <v>100</v>
      </c>
      <c r="I120" s="43">
        <f>I122+I121</f>
        <v>100</v>
      </c>
    </row>
    <row r="121" spans="1:9" ht="64.5" customHeight="1">
      <c r="A121" s="153" t="s">
        <v>14</v>
      </c>
      <c r="B121" s="42" t="s">
        <v>73</v>
      </c>
      <c r="C121" s="42" t="s">
        <v>124</v>
      </c>
      <c r="D121" s="42" t="s">
        <v>15</v>
      </c>
      <c r="E121" s="43">
        <v>25</v>
      </c>
      <c r="F121" s="42"/>
      <c r="G121" s="43">
        <v>25</v>
      </c>
      <c r="H121" s="43">
        <v>25</v>
      </c>
      <c r="I121" s="43">
        <v>25</v>
      </c>
    </row>
    <row r="122" spans="1:9" ht="47.25">
      <c r="A122" s="45" t="s">
        <v>449</v>
      </c>
      <c r="B122" s="42" t="s">
        <v>73</v>
      </c>
      <c r="C122" s="42" t="s">
        <v>124</v>
      </c>
      <c r="D122" s="42" t="s">
        <v>8</v>
      </c>
      <c r="E122" s="43">
        <v>75</v>
      </c>
      <c r="F122" s="42"/>
      <c r="G122" s="43">
        <v>75</v>
      </c>
      <c r="H122" s="43">
        <v>75</v>
      </c>
      <c r="I122" s="43">
        <v>75</v>
      </c>
    </row>
    <row r="123" spans="1:9" ht="31.5">
      <c r="A123" s="76" t="s">
        <v>305</v>
      </c>
      <c r="B123" s="72" t="s">
        <v>73</v>
      </c>
      <c r="C123" s="71" t="s">
        <v>135</v>
      </c>
      <c r="D123" s="71" t="s">
        <v>0</v>
      </c>
      <c r="E123" s="77">
        <f>E139+E127+E133+E142+E137+E129+E131+E124+E146+E144+E135</f>
        <v>65948.90000000001</v>
      </c>
      <c r="F123" s="77">
        <f>F139+F127+F133+F142+F137+F129+F131+F124+F146+F144+F135</f>
        <v>2044.5</v>
      </c>
      <c r="G123" s="77">
        <f>G139+G127+G133+G142+G137+G129+G131+G124+G146+G144+G135</f>
        <v>67993.4</v>
      </c>
      <c r="H123" s="77">
        <f>H139+H127+H133+H142+H137+H129+H131+H124+H146+H144+H135</f>
        <v>61910.899999999994</v>
      </c>
      <c r="I123" s="77">
        <f>I139+I127+I133+I142+I137+I129+I131+I124+I146+I144+I135</f>
        <v>62368.399999999994</v>
      </c>
    </row>
    <row r="124" spans="1:9" ht="15.75">
      <c r="A124" s="40" t="s">
        <v>355</v>
      </c>
      <c r="B124" s="42" t="s">
        <v>73</v>
      </c>
      <c r="C124" s="42" t="s">
        <v>356</v>
      </c>
      <c r="D124" s="42"/>
      <c r="E124" s="43">
        <f>E126+E125</f>
        <v>2840</v>
      </c>
      <c r="F124" s="43">
        <f>F126+F125</f>
        <v>661.7</v>
      </c>
      <c r="G124" s="43">
        <f>G126+G125</f>
        <v>3501.7</v>
      </c>
      <c r="H124" s="43">
        <f>H126+H125</f>
        <v>100</v>
      </c>
      <c r="I124" s="43">
        <f>I126+I125</f>
        <v>100</v>
      </c>
    </row>
    <row r="125" spans="1:9" ht="47.25">
      <c r="A125" s="45" t="s">
        <v>449</v>
      </c>
      <c r="B125" s="42" t="s">
        <v>73</v>
      </c>
      <c r="C125" s="42" t="s">
        <v>356</v>
      </c>
      <c r="D125" s="42" t="s">
        <v>8</v>
      </c>
      <c r="E125" s="43">
        <v>100</v>
      </c>
      <c r="F125" s="43"/>
      <c r="G125" s="43">
        <f>E125+F125</f>
        <v>100</v>
      </c>
      <c r="H125" s="43">
        <v>0</v>
      </c>
      <c r="I125" s="43">
        <v>0</v>
      </c>
    </row>
    <row r="126" spans="1:9" ht="31.5">
      <c r="A126" s="45" t="s">
        <v>10</v>
      </c>
      <c r="B126" s="42" t="s">
        <v>73</v>
      </c>
      <c r="C126" s="42" t="s">
        <v>356</v>
      </c>
      <c r="D126" s="42" t="s">
        <v>11</v>
      </c>
      <c r="E126" s="43">
        <v>2740</v>
      </c>
      <c r="F126" s="43">
        <f>336.1+325.6</f>
        <v>661.7</v>
      </c>
      <c r="G126" s="43">
        <f>E126+F126</f>
        <v>3401.7</v>
      </c>
      <c r="H126" s="43">
        <v>100</v>
      </c>
      <c r="I126" s="43">
        <v>100</v>
      </c>
    </row>
    <row r="127" spans="1:9" ht="31.5">
      <c r="A127" s="45" t="s">
        <v>52</v>
      </c>
      <c r="B127" s="42" t="s">
        <v>73</v>
      </c>
      <c r="C127" s="42" t="s">
        <v>136</v>
      </c>
      <c r="D127" s="42"/>
      <c r="E127" s="43">
        <f>E128</f>
        <v>55155.8</v>
      </c>
      <c r="F127" s="43">
        <f>F128</f>
        <v>2201.5</v>
      </c>
      <c r="G127" s="43">
        <f>G128</f>
        <v>57357.3</v>
      </c>
      <c r="H127" s="43">
        <f>H128</f>
        <v>55939.9</v>
      </c>
      <c r="I127" s="43">
        <f>I128</f>
        <v>55935.3</v>
      </c>
    </row>
    <row r="128" spans="1:9" ht="31.5">
      <c r="A128" s="45" t="s">
        <v>10</v>
      </c>
      <c r="B128" s="42" t="s">
        <v>73</v>
      </c>
      <c r="C128" s="42" t="s">
        <v>136</v>
      </c>
      <c r="D128" s="42" t="s">
        <v>11</v>
      </c>
      <c r="E128" s="37">
        <v>55155.8</v>
      </c>
      <c r="F128" s="37">
        <v>2201.5</v>
      </c>
      <c r="G128" s="37">
        <f>E128+F128</f>
        <v>57357.3</v>
      </c>
      <c r="H128" s="37">
        <f>56000-26.1-34</f>
        <v>55939.9</v>
      </c>
      <c r="I128" s="37">
        <f>56000-26.1-38.6</f>
        <v>55935.3</v>
      </c>
    </row>
    <row r="129" spans="1:9" ht="47.25">
      <c r="A129" s="45" t="s">
        <v>272</v>
      </c>
      <c r="B129" s="42" t="s">
        <v>73</v>
      </c>
      <c r="C129" s="42" t="s">
        <v>275</v>
      </c>
      <c r="D129" s="42"/>
      <c r="E129" s="43">
        <f>E130</f>
        <v>2953.2</v>
      </c>
      <c r="F129" s="43">
        <f>F130</f>
        <v>0</v>
      </c>
      <c r="G129" s="43">
        <f>G130</f>
        <v>2953.2</v>
      </c>
      <c r="H129" s="43">
        <f>H130</f>
        <v>3398.1</v>
      </c>
      <c r="I129" s="43">
        <f>I130</f>
        <v>3860.2</v>
      </c>
    </row>
    <row r="130" spans="1:9" ht="31.5">
      <c r="A130" s="45" t="s">
        <v>10</v>
      </c>
      <c r="B130" s="42" t="s">
        <v>73</v>
      </c>
      <c r="C130" s="42" t="s">
        <v>275</v>
      </c>
      <c r="D130" s="42" t="s">
        <v>11</v>
      </c>
      <c r="E130" s="37">
        <f>2923.7+29.5</f>
        <v>2953.2</v>
      </c>
      <c r="F130" s="37">
        <v>0</v>
      </c>
      <c r="G130" s="37">
        <f>E130+F130</f>
        <v>2953.2</v>
      </c>
      <c r="H130" s="37">
        <f>3364.1+34</f>
        <v>3398.1</v>
      </c>
      <c r="I130" s="37">
        <f>3821.6+38.6</f>
        <v>3860.2</v>
      </c>
    </row>
    <row r="131" spans="1:9" ht="31.5">
      <c r="A131" s="45" t="s">
        <v>261</v>
      </c>
      <c r="B131" s="42" t="s">
        <v>73</v>
      </c>
      <c r="C131" s="42" t="s">
        <v>334</v>
      </c>
      <c r="D131" s="42"/>
      <c r="E131" s="37">
        <f>E132</f>
        <v>52.2</v>
      </c>
      <c r="F131" s="37">
        <f>F132</f>
        <v>0</v>
      </c>
      <c r="G131" s="37">
        <f>G132</f>
        <v>52.2</v>
      </c>
      <c r="H131" s="37">
        <f>H132</f>
        <v>52.2</v>
      </c>
      <c r="I131" s="37">
        <f>I132</f>
        <v>52.2</v>
      </c>
    </row>
    <row r="132" spans="1:9" ht="31.5">
      <c r="A132" s="45" t="s">
        <v>10</v>
      </c>
      <c r="B132" s="42" t="s">
        <v>73</v>
      </c>
      <c r="C132" s="42" t="s">
        <v>334</v>
      </c>
      <c r="D132" s="42" t="s">
        <v>11</v>
      </c>
      <c r="E132" s="37">
        <f>26.1+26.1</f>
        <v>52.2</v>
      </c>
      <c r="F132" s="37">
        <v>0</v>
      </c>
      <c r="G132" s="37">
        <f>E132+F132</f>
        <v>52.2</v>
      </c>
      <c r="H132" s="37">
        <f>26.1+26.1</f>
        <v>52.2</v>
      </c>
      <c r="I132" s="37">
        <f>26.1+26.1</f>
        <v>52.2</v>
      </c>
    </row>
    <row r="133" spans="1:9" ht="31.5">
      <c r="A133" s="45" t="s">
        <v>40</v>
      </c>
      <c r="B133" s="42" t="s">
        <v>73</v>
      </c>
      <c r="C133" s="42" t="s">
        <v>357</v>
      </c>
      <c r="D133" s="42"/>
      <c r="E133" s="43">
        <f>E134</f>
        <v>300.7</v>
      </c>
      <c r="F133" s="43">
        <f>F134</f>
        <v>0</v>
      </c>
      <c r="G133" s="43">
        <f>G134</f>
        <v>300.7</v>
      </c>
      <c r="H133" s="43">
        <f>H134</f>
        <v>300.7</v>
      </c>
      <c r="I133" s="43">
        <f>I134</f>
        <v>300.7</v>
      </c>
    </row>
    <row r="134" spans="1:9" ht="31.5">
      <c r="A134" s="45" t="s">
        <v>10</v>
      </c>
      <c r="B134" s="42" t="s">
        <v>73</v>
      </c>
      <c r="C134" s="42" t="s">
        <v>357</v>
      </c>
      <c r="D134" s="42" t="s">
        <v>11</v>
      </c>
      <c r="E134" s="43">
        <v>300.7</v>
      </c>
      <c r="F134" s="43">
        <v>0</v>
      </c>
      <c r="G134" s="37">
        <f>E134+F134</f>
        <v>300.7</v>
      </c>
      <c r="H134" s="43">
        <v>300.7</v>
      </c>
      <c r="I134" s="43">
        <v>300.7</v>
      </c>
    </row>
    <row r="135" spans="1:9" ht="63">
      <c r="A135" s="45" t="s">
        <v>433</v>
      </c>
      <c r="B135" s="42" t="s">
        <v>73</v>
      </c>
      <c r="C135" s="42" t="s">
        <v>432</v>
      </c>
      <c r="D135" s="42"/>
      <c r="E135" s="43">
        <f>E136</f>
        <v>1788.6</v>
      </c>
      <c r="F135" s="43">
        <f>F136</f>
        <v>0</v>
      </c>
      <c r="G135" s="43">
        <f>G136</f>
        <v>1788.6</v>
      </c>
      <c r="H135" s="43">
        <f>H136</f>
        <v>0</v>
      </c>
      <c r="I135" s="43">
        <f>I136</f>
        <v>0</v>
      </c>
    </row>
    <row r="136" spans="1:9" ht="31.5">
      <c r="A136" s="45" t="s">
        <v>10</v>
      </c>
      <c r="B136" s="42" t="s">
        <v>73</v>
      </c>
      <c r="C136" s="42" t="s">
        <v>432</v>
      </c>
      <c r="D136" s="42" t="s">
        <v>11</v>
      </c>
      <c r="E136" s="43">
        <v>1788.6</v>
      </c>
      <c r="F136" s="43"/>
      <c r="G136" s="37">
        <f>E136+F136</f>
        <v>1788.6</v>
      </c>
      <c r="H136" s="43">
        <v>0</v>
      </c>
      <c r="I136" s="43">
        <v>0</v>
      </c>
    </row>
    <row r="137" spans="1:9" ht="31.5">
      <c r="A137" s="45" t="s">
        <v>212</v>
      </c>
      <c r="B137" s="27" t="s">
        <v>73</v>
      </c>
      <c r="C137" s="42" t="s">
        <v>211</v>
      </c>
      <c r="D137" s="15"/>
      <c r="E137" s="17">
        <f>E138</f>
        <v>14.3</v>
      </c>
      <c r="F137" s="17">
        <f>F138</f>
        <v>0</v>
      </c>
      <c r="G137" s="17">
        <f>G138</f>
        <v>14.3</v>
      </c>
      <c r="H137" s="17">
        <f>H138</f>
        <v>20</v>
      </c>
      <c r="I137" s="17">
        <f>I138</f>
        <v>20</v>
      </c>
    </row>
    <row r="138" spans="1:9" ht="47.25">
      <c r="A138" s="45" t="s">
        <v>449</v>
      </c>
      <c r="B138" s="27" t="s">
        <v>73</v>
      </c>
      <c r="C138" s="42" t="s">
        <v>211</v>
      </c>
      <c r="D138" s="15" t="s">
        <v>8</v>
      </c>
      <c r="E138" s="43">
        <v>14.3</v>
      </c>
      <c r="F138" s="43"/>
      <c r="G138" s="37">
        <f>E138+F138</f>
        <v>14.3</v>
      </c>
      <c r="H138" s="43">
        <v>20</v>
      </c>
      <c r="I138" s="43">
        <v>20</v>
      </c>
    </row>
    <row r="139" spans="1:9" ht="31.5">
      <c r="A139" s="45" t="s">
        <v>41</v>
      </c>
      <c r="B139" s="27" t="s">
        <v>73</v>
      </c>
      <c r="C139" s="42" t="s">
        <v>137</v>
      </c>
      <c r="D139" s="15"/>
      <c r="E139" s="17">
        <f>E141+E140</f>
        <v>1721.3</v>
      </c>
      <c r="F139" s="17">
        <f>F141+F140</f>
        <v>-718.7</v>
      </c>
      <c r="G139" s="17">
        <f>G141+G140</f>
        <v>1002.5999999999999</v>
      </c>
      <c r="H139" s="17">
        <f>H141+H140</f>
        <v>2000</v>
      </c>
      <c r="I139" s="17">
        <f>I141+I140</f>
        <v>2000</v>
      </c>
    </row>
    <row r="140" spans="1:9" ht="73.5" customHeight="1">
      <c r="A140" s="45" t="s">
        <v>14</v>
      </c>
      <c r="B140" s="27" t="s">
        <v>73</v>
      </c>
      <c r="C140" s="42" t="s">
        <v>137</v>
      </c>
      <c r="D140" s="15" t="s">
        <v>15</v>
      </c>
      <c r="E140" s="17">
        <v>1300</v>
      </c>
      <c r="F140" s="17">
        <f>-336.1-264.6</f>
        <v>-600.7</v>
      </c>
      <c r="G140" s="37">
        <f>E140+F140</f>
        <v>699.3</v>
      </c>
      <c r="H140" s="17">
        <v>1500</v>
      </c>
      <c r="I140" s="17">
        <v>1500</v>
      </c>
    </row>
    <row r="141" spans="1:9" ht="47.25">
      <c r="A141" s="45" t="s">
        <v>449</v>
      </c>
      <c r="B141" s="27" t="s">
        <v>73</v>
      </c>
      <c r="C141" s="42" t="s">
        <v>137</v>
      </c>
      <c r="D141" s="15" t="s">
        <v>8</v>
      </c>
      <c r="E141" s="43">
        <v>421.3</v>
      </c>
      <c r="F141" s="43">
        <v>-118</v>
      </c>
      <c r="G141" s="37">
        <f>E141+F141</f>
        <v>303.3</v>
      </c>
      <c r="H141" s="43">
        <v>500</v>
      </c>
      <c r="I141" s="43">
        <v>500</v>
      </c>
    </row>
    <row r="142" spans="1:9" ht="47.25">
      <c r="A142" s="22" t="s">
        <v>186</v>
      </c>
      <c r="B142" s="27" t="s">
        <v>73</v>
      </c>
      <c r="C142" s="42" t="s">
        <v>198</v>
      </c>
      <c r="D142" s="15"/>
      <c r="E142" s="43">
        <f>E143</f>
        <v>100</v>
      </c>
      <c r="F142" s="43">
        <f>F143</f>
        <v>-100</v>
      </c>
      <c r="G142" s="43">
        <f>G143</f>
        <v>0</v>
      </c>
      <c r="H142" s="43">
        <f>H143</f>
        <v>100</v>
      </c>
      <c r="I142" s="43">
        <f>I143</f>
        <v>100</v>
      </c>
    </row>
    <row r="143" spans="1:9" ht="31.5">
      <c r="A143" s="45" t="s">
        <v>10</v>
      </c>
      <c r="B143" s="27" t="s">
        <v>73</v>
      </c>
      <c r="C143" s="42" t="s">
        <v>198</v>
      </c>
      <c r="D143" s="15" t="s">
        <v>11</v>
      </c>
      <c r="E143" s="43">
        <v>100</v>
      </c>
      <c r="F143" s="43">
        <v>-100</v>
      </c>
      <c r="G143" s="37">
        <f>E143+F143</f>
        <v>0</v>
      </c>
      <c r="H143" s="43">
        <v>100</v>
      </c>
      <c r="I143" s="43">
        <v>100</v>
      </c>
    </row>
    <row r="144" spans="1:9" ht="32.25" customHeight="1">
      <c r="A144" s="45" t="s">
        <v>391</v>
      </c>
      <c r="B144" s="27" t="s">
        <v>73</v>
      </c>
      <c r="C144" s="42" t="s">
        <v>434</v>
      </c>
      <c r="D144" s="15"/>
      <c r="E144" s="43">
        <f>E145</f>
        <v>387.9</v>
      </c>
      <c r="F144" s="43">
        <f>F145</f>
        <v>0</v>
      </c>
      <c r="G144" s="43">
        <f>G145</f>
        <v>387.9</v>
      </c>
      <c r="H144" s="43">
        <f>H145</f>
        <v>0</v>
      </c>
      <c r="I144" s="43">
        <f>I145</f>
        <v>0</v>
      </c>
    </row>
    <row r="145" spans="1:9" ht="32.25" customHeight="1">
      <c r="A145" s="45" t="s">
        <v>10</v>
      </c>
      <c r="B145" s="27" t="s">
        <v>73</v>
      </c>
      <c r="C145" s="42" t="s">
        <v>434</v>
      </c>
      <c r="D145" s="15" t="s">
        <v>11</v>
      </c>
      <c r="E145" s="43">
        <v>387.9</v>
      </c>
      <c r="F145" s="43"/>
      <c r="G145" s="37">
        <f>E145+F145</f>
        <v>387.9</v>
      </c>
      <c r="H145" s="43">
        <v>0</v>
      </c>
      <c r="I145" s="43">
        <v>0</v>
      </c>
    </row>
    <row r="146" spans="1:9" ht="45.75" customHeight="1">
      <c r="A146" s="45" t="s">
        <v>385</v>
      </c>
      <c r="B146" s="27" t="s">
        <v>73</v>
      </c>
      <c r="C146" s="42" t="s">
        <v>386</v>
      </c>
      <c r="D146" s="15"/>
      <c r="E146" s="43">
        <f>E147</f>
        <v>634.9</v>
      </c>
      <c r="F146" s="43">
        <f>F147</f>
        <v>0</v>
      </c>
      <c r="G146" s="43">
        <f>G147</f>
        <v>634.9</v>
      </c>
      <c r="H146" s="43">
        <f>H147</f>
        <v>0</v>
      </c>
      <c r="I146" s="43">
        <f>I147</f>
        <v>0</v>
      </c>
    </row>
    <row r="147" spans="1:9" ht="32.25" customHeight="1">
      <c r="A147" s="45" t="s">
        <v>10</v>
      </c>
      <c r="B147" s="27" t="s">
        <v>73</v>
      </c>
      <c r="C147" s="42" t="s">
        <v>386</v>
      </c>
      <c r="D147" s="15" t="s">
        <v>11</v>
      </c>
      <c r="E147" s="43">
        <v>634.9</v>
      </c>
      <c r="F147" s="43"/>
      <c r="G147" s="37">
        <f>E147+F147</f>
        <v>634.9</v>
      </c>
      <c r="H147" s="43">
        <v>0</v>
      </c>
      <c r="I147" s="43">
        <v>0</v>
      </c>
    </row>
    <row r="148" spans="1:9" ht="31.5">
      <c r="A148" s="160" t="s">
        <v>306</v>
      </c>
      <c r="B148" s="72" t="s">
        <v>73</v>
      </c>
      <c r="C148" s="71" t="s">
        <v>147</v>
      </c>
      <c r="D148" s="71" t="s">
        <v>0</v>
      </c>
      <c r="E148" s="77">
        <f>E152+E187+E149</f>
        <v>134557.6</v>
      </c>
      <c r="F148" s="77">
        <f>F152+F187+F149</f>
        <v>7810.6</v>
      </c>
      <c r="G148" s="77">
        <f>G152+G187+G149</f>
        <v>142368.19999999995</v>
      </c>
      <c r="H148" s="77">
        <f>H152+H187+H149</f>
        <v>125034.79999999999</v>
      </c>
      <c r="I148" s="77">
        <f>I152+I187+I149</f>
        <v>121890.20000000001</v>
      </c>
    </row>
    <row r="149" spans="1:9" ht="31.5">
      <c r="A149" s="161" t="s">
        <v>319</v>
      </c>
      <c r="B149" s="78" t="s">
        <v>73</v>
      </c>
      <c r="C149" s="11" t="s">
        <v>148</v>
      </c>
      <c r="D149" s="100"/>
      <c r="E149" s="12">
        <f aca="true" t="shared" si="3" ref="E149:I150">E150</f>
        <v>7041.4</v>
      </c>
      <c r="F149" s="12">
        <f t="shared" si="3"/>
        <v>0</v>
      </c>
      <c r="G149" s="12">
        <f t="shared" si="3"/>
        <v>7041.4</v>
      </c>
      <c r="H149" s="12">
        <f t="shared" si="3"/>
        <v>6327.7</v>
      </c>
      <c r="I149" s="12">
        <f>I150</f>
        <v>0</v>
      </c>
    </row>
    <row r="150" spans="1:9" ht="15.75">
      <c r="A150" s="45" t="s">
        <v>233</v>
      </c>
      <c r="B150" s="27" t="s">
        <v>73</v>
      </c>
      <c r="C150" s="35" t="s">
        <v>232</v>
      </c>
      <c r="D150" s="89"/>
      <c r="E150" s="36">
        <f>E151</f>
        <v>7041.4</v>
      </c>
      <c r="F150" s="36">
        <f>F151</f>
        <v>0</v>
      </c>
      <c r="G150" s="36">
        <f>G151</f>
        <v>7041.4</v>
      </c>
      <c r="H150" s="36">
        <f t="shared" si="3"/>
        <v>6327.7</v>
      </c>
      <c r="I150" s="36">
        <f t="shared" si="3"/>
        <v>0</v>
      </c>
    </row>
    <row r="151" spans="1:9" ht="15.75">
      <c r="A151" s="45" t="s">
        <v>223</v>
      </c>
      <c r="B151" s="27" t="s">
        <v>73</v>
      </c>
      <c r="C151" s="35" t="s">
        <v>232</v>
      </c>
      <c r="D151" s="35" t="s">
        <v>224</v>
      </c>
      <c r="E151" s="36">
        <v>7041.4</v>
      </c>
      <c r="F151" s="36">
        <v>0</v>
      </c>
      <c r="G151" s="36">
        <v>7041.4</v>
      </c>
      <c r="H151" s="36">
        <v>6327.7</v>
      </c>
      <c r="I151" s="36">
        <v>0</v>
      </c>
    </row>
    <row r="152" spans="1:9" ht="15.75">
      <c r="A152" s="161" t="s">
        <v>309</v>
      </c>
      <c r="B152" s="78" t="s">
        <v>73</v>
      </c>
      <c r="C152" s="11" t="s">
        <v>155</v>
      </c>
      <c r="D152" s="11" t="s">
        <v>0</v>
      </c>
      <c r="E152" s="12">
        <f>E153+E155+E160+E167+E170+E173+E176+E182+E179+E164+E185</f>
        <v>124616.8</v>
      </c>
      <c r="F152" s="12">
        <f>F153+F155+F160+F167+F170+F173+F176+F182+F179+F164+F185</f>
        <v>7810.6</v>
      </c>
      <c r="G152" s="12">
        <f>G153+G155+G160+G167+G170+G173+G176+G182+G179+G164+G185</f>
        <v>132427.39999999997</v>
      </c>
      <c r="H152" s="12">
        <f>H153+H155+H160+H167+H170+H173+H176+H182+H179+H164+H185</f>
        <v>116948.7</v>
      </c>
      <c r="I152" s="12">
        <f>I153+I155+I160+I167+I170+I173+I176+I182+I179+I164+I185</f>
        <v>120131.80000000002</v>
      </c>
    </row>
    <row r="153" spans="1:9" ht="31.5">
      <c r="A153" s="45" t="s">
        <v>19</v>
      </c>
      <c r="B153" s="42" t="s">
        <v>73</v>
      </c>
      <c r="C153" s="15" t="s">
        <v>156</v>
      </c>
      <c r="D153" s="7"/>
      <c r="E153" s="8">
        <f>E154</f>
        <v>200</v>
      </c>
      <c r="F153" s="8">
        <f>F154</f>
        <v>0</v>
      </c>
      <c r="G153" s="8">
        <f>G154</f>
        <v>200</v>
      </c>
      <c r="H153" s="8">
        <f>H154</f>
        <v>200</v>
      </c>
      <c r="I153" s="8">
        <f>I154</f>
        <v>200</v>
      </c>
    </row>
    <row r="154" spans="1:9" ht="47.25">
      <c r="A154" s="45" t="s">
        <v>449</v>
      </c>
      <c r="B154" s="42" t="s">
        <v>73</v>
      </c>
      <c r="C154" s="15" t="s">
        <v>156</v>
      </c>
      <c r="D154" s="42" t="s">
        <v>8</v>
      </c>
      <c r="E154" s="43">
        <v>200</v>
      </c>
      <c r="F154" s="42"/>
      <c r="G154" s="43">
        <v>200</v>
      </c>
      <c r="H154" s="43">
        <v>200</v>
      </c>
      <c r="I154" s="43">
        <v>200</v>
      </c>
    </row>
    <row r="155" spans="1:9" ht="31.5">
      <c r="A155" s="45" t="s">
        <v>13</v>
      </c>
      <c r="B155" s="42" t="s">
        <v>73</v>
      </c>
      <c r="C155" s="42" t="s">
        <v>157</v>
      </c>
      <c r="D155" s="21"/>
      <c r="E155" s="20">
        <f>E156+E157+E158+E159</f>
        <v>108593.00000000001</v>
      </c>
      <c r="F155" s="20">
        <f>F156+F157+F158+F159</f>
        <v>5258</v>
      </c>
      <c r="G155" s="20">
        <f>G156+G157+G158+G159</f>
        <v>113851</v>
      </c>
      <c r="H155" s="20">
        <f>SUM(H156:H159)</f>
        <v>102002.1</v>
      </c>
      <c r="I155" s="20">
        <f>SUM(I156:I159)</f>
        <v>104553.5</v>
      </c>
    </row>
    <row r="156" spans="1:9" ht="63">
      <c r="A156" s="45" t="s">
        <v>14</v>
      </c>
      <c r="B156" s="42" t="s">
        <v>73</v>
      </c>
      <c r="C156" s="42" t="s">
        <v>157</v>
      </c>
      <c r="D156" s="42" t="s">
        <v>15</v>
      </c>
      <c r="E156" s="37">
        <v>89010.8</v>
      </c>
      <c r="F156" s="37">
        <f>-184.9-500-445.7+5539.6-0.1</f>
        <v>4408.9</v>
      </c>
      <c r="G156" s="37">
        <f>F156+E156</f>
        <v>93419.7</v>
      </c>
      <c r="H156" s="37">
        <f>92014.6-1160.1-2886.2</f>
        <v>87968.3</v>
      </c>
      <c r="I156" s="37">
        <f>92014.6-1160.1</f>
        <v>90854.5</v>
      </c>
    </row>
    <row r="157" spans="1:9" ht="47.25">
      <c r="A157" s="45" t="s">
        <v>449</v>
      </c>
      <c r="B157" s="42" t="s">
        <v>73</v>
      </c>
      <c r="C157" s="42" t="s">
        <v>157</v>
      </c>
      <c r="D157" s="42" t="s">
        <v>8</v>
      </c>
      <c r="E157" s="37">
        <v>9130.6</v>
      </c>
      <c r="F157" s="37"/>
      <c r="G157" s="37">
        <f>E157+F157</f>
        <v>9130.6</v>
      </c>
      <c r="H157" s="37">
        <f>4251.1-124+513</f>
        <v>4640.1</v>
      </c>
      <c r="I157" s="37">
        <v>4305.3</v>
      </c>
    </row>
    <row r="158" spans="1:9" ht="15.75">
      <c r="A158" s="45" t="s">
        <v>66</v>
      </c>
      <c r="B158" s="42" t="s">
        <v>73</v>
      </c>
      <c r="C158" s="42" t="s">
        <v>157</v>
      </c>
      <c r="D158" s="42" t="s">
        <v>16</v>
      </c>
      <c r="E158" s="37">
        <v>10122.8</v>
      </c>
      <c r="F158" s="121">
        <f>65.7+907.3</f>
        <v>973</v>
      </c>
      <c r="G158" s="37">
        <f>E158+F158</f>
        <v>11095.8</v>
      </c>
      <c r="H158" s="37">
        <v>9065.7</v>
      </c>
      <c r="I158" s="37">
        <v>9065.7</v>
      </c>
    </row>
    <row r="159" spans="1:9" ht="15.75">
      <c r="A159" s="45" t="s">
        <v>9</v>
      </c>
      <c r="B159" s="42" t="s">
        <v>73</v>
      </c>
      <c r="C159" s="42" t="s">
        <v>157</v>
      </c>
      <c r="D159" s="42" t="s">
        <v>12</v>
      </c>
      <c r="E159" s="37">
        <v>328.8</v>
      </c>
      <c r="F159" s="121">
        <f>-124+0.1</f>
        <v>-123.9</v>
      </c>
      <c r="G159" s="37">
        <f>E159+F159</f>
        <v>204.9</v>
      </c>
      <c r="H159" s="37">
        <v>328</v>
      </c>
      <c r="I159" s="37">
        <v>328</v>
      </c>
    </row>
    <row r="160" spans="1:9" ht="31.5">
      <c r="A160" s="45" t="s">
        <v>53</v>
      </c>
      <c r="B160" s="27" t="s">
        <v>73</v>
      </c>
      <c r="C160" s="15" t="s">
        <v>158</v>
      </c>
      <c r="D160" s="7"/>
      <c r="E160" s="8">
        <f>E161+E162+E163</f>
        <v>9656.6</v>
      </c>
      <c r="F160" s="8">
        <f>F161+F162+F163</f>
        <v>758.5999999999999</v>
      </c>
      <c r="G160" s="8">
        <f>G161+G162+G163</f>
        <v>10415.2</v>
      </c>
      <c r="H160" s="8">
        <f>H161+H162+H163</f>
        <v>9656.6</v>
      </c>
      <c r="I160" s="8">
        <f>I161+I162+I163</f>
        <v>9656.6</v>
      </c>
    </row>
    <row r="161" spans="1:9" ht="63">
      <c r="A161" s="45" t="s">
        <v>14</v>
      </c>
      <c r="B161" s="42" t="s">
        <v>73</v>
      </c>
      <c r="C161" s="15" t="s">
        <v>158</v>
      </c>
      <c r="D161" s="7" t="s">
        <v>15</v>
      </c>
      <c r="E161" s="8">
        <f>7935+1160.1</f>
        <v>9095.1</v>
      </c>
      <c r="F161" s="7"/>
      <c r="G161" s="8">
        <f>7935+1160.1</f>
        <v>9095.1</v>
      </c>
      <c r="H161" s="8">
        <f>9095.1</f>
        <v>9095.1</v>
      </c>
      <c r="I161" s="8">
        <v>9095.1</v>
      </c>
    </row>
    <row r="162" spans="1:9" ht="47.25">
      <c r="A162" s="45" t="s">
        <v>449</v>
      </c>
      <c r="B162" s="42" t="s">
        <v>73</v>
      </c>
      <c r="C162" s="15" t="s">
        <v>158</v>
      </c>
      <c r="D162" s="42" t="s">
        <v>8</v>
      </c>
      <c r="E162" s="8">
        <v>500</v>
      </c>
      <c r="F162" s="8">
        <f>838.3-79.7-538</f>
        <v>220.5999999999999</v>
      </c>
      <c r="G162" s="8">
        <f>E162+F162</f>
        <v>720.5999999999999</v>
      </c>
      <c r="H162" s="8">
        <v>500</v>
      </c>
      <c r="I162" s="8">
        <v>500</v>
      </c>
    </row>
    <row r="163" spans="1:9" ht="15.75">
      <c r="A163" s="45" t="s">
        <v>9</v>
      </c>
      <c r="B163" s="42" t="s">
        <v>73</v>
      </c>
      <c r="C163" s="15" t="s">
        <v>158</v>
      </c>
      <c r="D163" s="42" t="s">
        <v>12</v>
      </c>
      <c r="E163" s="8">
        <v>61.5</v>
      </c>
      <c r="F163" s="169">
        <v>538</v>
      </c>
      <c r="G163" s="8">
        <f>E163+F163</f>
        <v>599.5</v>
      </c>
      <c r="H163" s="8">
        <v>61.5</v>
      </c>
      <c r="I163" s="8">
        <v>61.5</v>
      </c>
    </row>
    <row r="164" spans="1:9" ht="78" customHeight="1">
      <c r="A164" s="45" t="s">
        <v>250</v>
      </c>
      <c r="B164" s="42" t="s">
        <v>73</v>
      </c>
      <c r="C164" s="27" t="s">
        <v>184</v>
      </c>
      <c r="D164" s="42"/>
      <c r="E164" s="20">
        <f>E165+E166</f>
        <v>25.1</v>
      </c>
      <c r="F164" s="20">
        <f>F165+F166</f>
        <v>0</v>
      </c>
      <c r="G164" s="20">
        <f>G165+G166</f>
        <v>25.1</v>
      </c>
      <c r="H164" s="20">
        <f>H165+H166</f>
        <v>25.700000000000003</v>
      </c>
      <c r="I164" s="20">
        <f>I165+I166</f>
        <v>26.700000000000003</v>
      </c>
    </row>
    <row r="165" spans="1:9" ht="63">
      <c r="A165" s="45" t="s">
        <v>14</v>
      </c>
      <c r="B165" s="42" t="s">
        <v>73</v>
      </c>
      <c r="C165" s="27" t="s">
        <v>184</v>
      </c>
      <c r="D165" s="42" t="s">
        <v>15</v>
      </c>
      <c r="E165" s="20">
        <f>15.6+0.7+0.8</f>
        <v>17.1</v>
      </c>
      <c r="F165" s="42"/>
      <c r="G165" s="20">
        <f>15.6+0.7+0.8</f>
        <v>17.1</v>
      </c>
      <c r="H165" s="20">
        <f>16.1+0.8+0.8</f>
        <v>17.700000000000003</v>
      </c>
      <c r="I165" s="20">
        <f>16.8+0.8+1.1</f>
        <v>18.700000000000003</v>
      </c>
    </row>
    <row r="166" spans="1:9" ht="47.25">
      <c r="A166" s="45" t="s">
        <v>449</v>
      </c>
      <c r="B166" s="42" t="s">
        <v>73</v>
      </c>
      <c r="C166" s="27" t="s">
        <v>184</v>
      </c>
      <c r="D166" s="42" t="s">
        <v>8</v>
      </c>
      <c r="E166" s="20">
        <f>5+2+1</f>
        <v>8</v>
      </c>
      <c r="F166" s="42"/>
      <c r="G166" s="20">
        <f>5+2+1</f>
        <v>8</v>
      </c>
      <c r="H166" s="20">
        <f>5+2+1</f>
        <v>8</v>
      </c>
      <c r="I166" s="20">
        <f>5+2+1</f>
        <v>8</v>
      </c>
    </row>
    <row r="167" spans="1:9" ht="78.75">
      <c r="A167" s="45" t="s">
        <v>366</v>
      </c>
      <c r="B167" s="42" t="s">
        <v>73</v>
      </c>
      <c r="C167" s="27" t="s">
        <v>164</v>
      </c>
      <c r="D167" s="115"/>
      <c r="E167" s="116">
        <f>E168+E169</f>
        <v>15.9</v>
      </c>
      <c r="F167" s="116">
        <f>F168+F169</f>
        <v>0</v>
      </c>
      <c r="G167" s="116">
        <f>G168+G169</f>
        <v>15.9</v>
      </c>
      <c r="H167" s="116">
        <f>H168+H169</f>
        <v>16.400000000000002</v>
      </c>
      <c r="I167" s="116">
        <f>I168+I169</f>
        <v>17</v>
      </c>
    </row>
    <row r="168" spans="1:9" ht="63">
      <c r="A168" s="45" t="s">
        <v>14</v>
      </c>
      <c r="B168" s="42" t="s">
        <v>73</v>
      </c>
      <c r="C168" s="27" t="s">
        <v>164</v>
      </c>
      <c r="D168" s="42" t="s">
        <v>15</v>
      </c>
      <c r="E168" s="43">
        <v>15.6</v>
      </c>
      <c r="F168" s="42"/>
      <c r="G168" s="43">
        <v>15.6</v>
      </c>
      <c r="H168" s="43">
        <v>16.1</v>
      </c>
      <c r="I168" s="43">
        <v>16.7</v>
      </c>
    </row>
    <row r="169" spans="1:9" ht="47.25">
      <c r="A169" s="45" t="s">
        <v>449</v>
      </c>
      <c r="B169" s="42" t="s">
        <v>73</v>
      </c>
      <c r="C169" s="27" t="s">
        <v>164</v>
      </c>
      <c r="D169" s="42" t="s">
        <v>8</v>
      </c>
      <c r="E169" s="43">
        <v>0.3</v>
      </c>
      <c r="F169" s="42"/>
      <c r="G169" s="43">
        <v>0.3</v>
      </c>
      <c r="H169" s="43">
        <v>0.3</v>
      </c>
      <c r="I169" s="43">
        <v>0.3</v>
      </c>
    </row>
    <row r="170" spans="1:9" ht="78.75">
      <c r="A170" s="45" t="s">
        <v>364</v>
      </c>
      <c r="B170" s="42" t="s">
        <v>73</v>
      </c>
      <c r="C170" s="27" t="s">
        <v>365</v>
      </c>
      <c r="D170" s="115"/>
      <c r="E170" s="116">
        <f>E171+E172</f>
        <v>63.5</v>
      </c>
      <c r="F170" s="116">
        <f>F171+F172</f>
        <v>0</v>
      </c>
      <c r="G170" s="116">
        <f>G171+G172</f>
        <v>63.5</v>
      </c>
      <c r="H170" s="116">
        <f>H171+H172</f>
        <v>65.60000000000001</v>
      </c>
      <c r="I170" s="116">
        <f>I171+I172</f>
        <v>68.10000000000001</v>
      </c>
    </row>
    <row r="171" spans="1:9" ht="63">
      <c r="A171" s="45" t="s">
        <v>14</v>
      </c>
      <c r="B171" s="42" t="s">
        <v>73</v>
      </c>
      <c r="C171" s="27" t="s">
        <v>365</v>
      </c>
      <c r="D171" s="115" t="s">
        <v>15</v>
      </c>
      <c r="E171" s="116">
        <v>62.3</v>
      </c>
      <c r="F171" s="115"/>
      <c r="G171" s="116">
        <v>62.3</v>
      </c>
      <c r="H171" s="116">
        <v>64.4</v>
      </c>
      <c r="I171" s="116">
        <v>66.9</v>
      </c>
    </row>
    <row r="172" spans="1:9" ht="47.25">
      <c r="A172" s="45" t="s">
        <v>449</v>
      </c>
      <c r="B172" s="42" t="s">
        <v>73</v>
      </c>
      <c r="C172" s="27" t="s">
        <v>365</v>
      </c>
      <c r="D172" s="42" t="s">
        <v>8</v>
      </c>
      <c r="E172" s="43">
        <v>1.2</v>
      </c>
      <c r="F172" s="42"/>
      <c r="G172" s="43">
        <v>1.2</v>
      </c>
      <c r="H172" s="43">
        <v>1.2</v>
      </c>
      <c r="I172" s="43">
        <v>1.2</v>
      </c>
    </row>
    <row r="173" spans="1:9" ht="78.75">
      <c r="A173" s="45" t="s">
        <v>220</v>
      </c>
      <c r="B173" s="42" t="s">
        <v>73</v>
      </c>
      <c r="C173" s="27" t="s">
        <v>165</v>
      </c>
      <c r="D173" s="115"/>
      <c r="E173" s="116">
        <f>E174+E175</f>
        <v>82.9</v>
      </c>
      <c r="F173" s="116">
        <f>F174+F175</f>
        <v>0</v>
      </c>
      <c r="G173" s="116">
        <f>G174+G175</f>
        <v>82.9</v>
      </c>
      <c r="H173" s="116">
        <f>H174+H175</f>
        <v>85.4</v>
      </c>
      <c r="I173" s="116">
        <f>I174+I175</f>
        <v>88.6</v>
      </c>
    </row>
    <row r="174" spans="1:9" ht="63">
      <c r="A174" s="45" t="s">
        <v>14</v>
      </c>
      <c r="B174" s="42" t="s">
        <v>73</v>
      </c>
      <c r="C174" s="27" t="s">
        <v>165</v>
      </c>
      <c r="D174" s="42" t="s">
        <v>15</v>
      </c>
      <c r="E174" s="43">
        <v>77.9</v>
      </c>
      <c r="F174" s="42"/>
      <c r="G174" s="43">
        <v>77.9</v>
      </c>
      <c r="H174" s="43">
        <v>80.4</v>
      </c>
      <c r="I174" s="43">
        <v>83.6</v>
      </c>
    </row>
    <row r="175" spans="1:9" ht="47.25">
      <c r="A175" s="45" t="s">
        <v>449</v>
      </c>
      <c r="B175" s="42" t="s">
        <v>73</v>
      </c>
      <c r="C175" s="27" t="s">
        <v>165</v>
      </c>
      <c r="D175" s="42" t="s">
        <v>8</v>
      </c>
      <c r="E175" s="43">
        <v>5</v>
      </c>
      <c r="F175" s="42"/>
      <c r="G175" s="43">
        <v>5</v>
      </c>
      <c r="H175" s="43">
        <v>5</v>
      </c>
      <c r="I175" s="43">
        <v>5</v>
      </c>
    </row>
    <row r="176" spans="1:9" ht="79.5" customHeight="1">
      <c r="A176" s="45" t="s">
        <v>245</v>
      </c>
      <c r="B176" s="42" t="s">
        <v>73</v>
      </c>
      <c r="C176" s="42" t="s">
        <v>166</v>
      </c>
      <c r="D176" s="21"/>
      <c r="E176" s="20">
        <f>E177+E178</f>
        <v>892.9</v>
      </c>
      <c r="F176" s="20">
        <f>F177+F178</f>
        <v>0</v>
      </c>
      <c r="G176" s="20">
        <f>G177+G178</f>
        <v>892.9</v>
      </c>
      <c r="H176" s="20">
        <f>H177+H178</f>
        <v>921.5</v>
      </c>
      <c r="I176" s="20">
        <f>I177+I178</f>
        <v>957.5999999999999</v>
      </c>
    </row>
    <row r="177" spans="1:9" ht="63">
      <c r="A177" s="45" t="s">
        <v>14</v>
      </c>
      <c r="B177" s="42" t="s">
        <v>73</v>
      </c>
      <c r="C177" s="42" t="s">
        <v>166</v>
      </c>
      <c r="D177" s="42" t="s">
        <v>15</v>
      </c>
      <c r="E177" s="43">
        <v>876.1</v>
      </c>
      <c r="F177" s="42"/>
      <c r="G177" s="43">
        <v>876.1</v>
      </c>
      <c r="H177" s="43">
        <v>904.6</v>
      </c>
      <c r="I177" s="43">
        <v>940.8</v>
      </c>
    </row>
    <row r="178" spans="1:9" ht="47.25">
      <c r="A178" s="45" t="s">
        <v>449</v>
      </c>
      <c r="B178" s="42" t="s">
        <v>73</v>
      </c>
      <c r="C178" s="42" t="s">
        <v>166</v>
      </c>
      <c r="D178" s="42" t="s">
        <v>8</v>
      </c>
      <c r="E178" s="43">
        <v>16.8</v>
      </c>
      <c r="F178" s="42"/>
      <c r="G178" s="43">
        <v>16.8</v>
      </c>
      <c r="H178" s="43">
        <v>16.9</v>
      </c>
      <c r="I178" s="43">
        <v>16.8</v>
      </c>
    </row>
    <row r="179" spans="1:9" ht="94.5">
      <c r="A179" s="45" t="s">
        <v>460</v>
      </c>
      <c r="B179" s="27" t="s">
        <v>73</v>
      </c>
      <c r="C179" s="27" t="s">
        <v>167</v>
      </c>
      <c r="D179" s="35"/>
      <c r="E179" s="37">
        <f>E180+E181</f>
        <v>82.9</v>
      </c>
      <c r="F179" s="37">
        <f>F180+F181</f>
        <v>0</v>
      </c>
      <c r="G179" s="37">
        <f>G180+G181</f>
        <v>82.9</v>
      </c>
      <c r="H179" s="43">
        <f>H180+H181</f>
        <v>85.4</v>
      </c>
      <c r="I179" s="43">
        <f>I180+I181</f>
        <v>88.7</v>
      </c>
    </row>
    <row r="180" spans="1:9" ht="63">
      <c r="A180" s="45" t="s">
        <v>14</v>
      </c>
      <c r="B180" s="42" t="s">
        <v>73</v>
      </c>
      <c r="C180" s="27" t="s">
        <v>167</v>
      </c>
      <c r="D180" s="42" t="s">
        <v>15</v>
      </c>
      <c r="E180" s="43">
        <v>77.9</v>
      </c>
      <c r="F180" s="42"/>
      <c r="G180" s="43">
        <v>77.9</v>
      </c>
      <c r="H180" s="43">
        <v>80.4</v>
      </c>
      <c r="I180" s="43">
        <v>83.7</v>
      </c>
    </row>
    <row r="181" spans="1:9" ht="47.25">
      <c r="A181" s="45" t="s">
        <v>449</v>
      </c>
      <c r="B181" s="42" t="s">
        <v>73</v>
      </c>
      <c r="C181" s="27" t="s">
        <v>167</v>
      </c>
      <c r="D181" s="42" t="s">
        <v>8</v>
      </c>
      <c r="E181" s="43">
        <v>5</v>
      </c>
      <c r="F181" s="42"/>
      <c r="G181" s="43">
        <v>5</v>
      </c>
      <c r="H181" s="43">
        <v>5</v>
      </c>
      <c r="I181" s="43">
        <v>5</v>
      </c>
    </row>
    <row r="182" spans="1:9" ht="31.5">
      <c r="A182" s="45" t="s">
        <v>47</v>
      </c>
      <c r="B182" s="42" t="s">
        <v>73</v>
      </c>
      <c r="C182" s="42" t="s">
        <v>159</v>
      </c>
      <c r="D182" s="42"/>
      <c r="E182" s="20">
        <f>E183+E184</f>
        <v>2214</v>
      </c>
      <c r="F182" s="20">
        <f>F183+F184</f>
        <v>0</v>
      </c>
      <c r="G182" s="20">
        <f>G183+G184</f>
        <v>2214</v>
      </c>
      <c r="H182" s="20">
        <f>H183+H184</f>
        <v>1100</v>
      </c>
      <c r="I182" s="20">
        <f>I183+I184</f>
        <v>1685</v>
      </c>
    </row>
    <row r="183" spans="1:9" ht="47.25">
      <c r="A183" s="45" t="s">
        <v>449</v>
      </c>
      <c r="B183" s="42" t="s">
        <v>73</v>
      </c>
      <c r="C183" s="42" t="s">
        <v>159</v>
      </c>
      <c r="D183" s="42" t="s">
        <v>8</v>
      </c>
      <c r="E183" s="20">
        <v>2014</v>
      </c>
      <c r="F183" s="146">
        <v>0</v>
      </c>
      <c r="G183" s="20">
        <f>E183+F183</f>
        <v>2014</v>
      </c>
      <c r="H183" s="20">
        <f>1485-585</f>
        <v>900</v>
      </c>
      <c r="I183" s="20">
        <v>1485</v>
      </c>
    </row>
    <row r="184" spans="1:9" ht="15.75">
      <c r="A184" s="45" t="s">
        <v>9</v>
      </c>
      <c r="B184" s="42" t="s">
        <v>73</v>
      </c>
      <c r="C184" s="42" t="s">
        <v>159</v>
      </c>
      <c r="D184" s="42" t="s">
        <v>12</v>
      </c>
      <c r="E184" s="20">
        <v>200</v>
      </c>
      <c r="F184" s="42"/>
      <c r="G184" s="20">
        <v>200</v>
      </c>
      <c r="H184" s="20">
        <v>200</v>
      </c>
      <c r="I184" s="20">
        <v>200</v>
      </c>
    </row>
    <row r="185" spans="1:9" ht="31.5">
      <c r="A185" s="45" t="s">
        <v>256</v>
      </c>
      <c r="B185" s="42" t="s">
        <v>73</v>
      </c>
      <c r="C185" s="42" t="s">
        <v>254</v>
      </c>
      <c r="D185" s="42"/>
      <c r="E185" s="20">
        <f>E186</f>
        <v>2790</v>
      </c>
      <c r="F185" s="20">
        <f>F186</f>
        <v>1794</v>
      </c>
      <c r="G185" s="20">
        <f>G186</f>
        <v>4584</v>
      </c>
      <c r="H185" s="20">
        <f>H186</f>
        <v>2790</v>
      </c>
      <c r="I185" s="20">
        <f>I186</f>
        <v>2790</v>
      </c>
    </row>
    <row r="186" spans="1:9" ht="31.5">
      <c r="A186" s="45" t="s">
        <v>10</v>
      </c>
      <c r="B186" s="42" t="s">
        <v>73</v>
      </c>
      <c r="C186" s="42" t="s">
        <v>254</v>
      </c>
      <c r="D186" s="42" t="s">
        <v>11</v>
      </c>
      <c r="E186" s="20">
        <v>2790</v>
      </c>
      <c r="F186" s="20">
        <f>894+900</f>
        <v>1794</v>
      </c>
      <c r="G186" s="20">
        <f>E186+F186</f>
        <v>4584</v>
      </c>
      <c r="H186" s="20">
        <v>2790</v>
      </c>
      <c r="I186" s="20">
        <v>2790</v>
      </c>
    </row>
    <row r="187" spans="1:9" ht="15.75">
      <c r="A187" s="161" t="s">
        <v>68</v>
      </c>
      <c r="B187" s="78" t="s">
        <v>73</v>
      </c>
      <c r="C187" s="11" t="s">
        <v>160</v>
      </c>
      <c r="D187" s="11" t="s">
        <v>0</v>
      </c>
      <c r="E187" s="12">
        <f>E188+E192+E196+E194+E190+E198</f>
        <v>2899.4</v>
      </c>
      <c r="F187" s="12">
        <f>F188+F192+F196+F194+F190+F198</f>
        <v>1.4210854715202004E-14</v>
      </c>
      <c r="G187" s="12">
        <f>G188+G192+G196+G194+G190+G198</f>
        <v>2899.4</v>
      </c>
      <c r="H187" s="12">
        <f>H188+H192+H196+H194+H190+H198</f>
        <v>1758.4</v>
      </c>
      <c r="I187" s="12">
        <f>I188+I192+I196+I194+I190+I198</f>
        <v>1758.4</v>
      </c>
    </row>
    <row r="188" spans="1:9" ht="47.25">
      <c r="A188" s="45" t="s">
        <v>20</v>
      </c>
      <c r="B188" s="27" t="s">
        <v>73</v>
      </c>
      <c r="C188" s="15" t="s">
        <v>161</v>
      </c>
      <c r="D188" s="7"/>
      <c r="E188" s="8">
        <f>E189</f>
        <v>50</v>
      </c>
      <c r="F188" s="8">
        <f>F189</f>
        <v>-4.2</v>
      </c>
      <c r="G188" s="8">
        <f>G189</f>
        <v>45.8</v>
      </c>
      <c r="H188" s="8">
        <f>H189</f>
        <v>50</v>
      </c>
      <c r="I188" s="8">
        <f>I189</f>
        <v>50</v>
      </c>
    </row>
    <row r="189" spans="1:9" ht="47.25">
      <c r="A189" s="45" t="s">
        <v>449</v>
      </c>
      <c r="B189" s="42" t="s">
        <v>73</v>
      </c>
      <c r="C189" s="15" t="s">
        <v>161</v>
      </c>
      <c r="D189" s="42" t="s">
        <v>8</v>
      </c>
      <c r="E189" s="20">
        <v>50</v>
      </c>
      <c r="F189" s="20">
        <v>-4.2</v>
      </c>
      <c r="G189" s="20">
        <f>E189+F189</f>
        <v>45.8</v>
      </c>
      <c r="H189" s="20">
        <v>50</v>
      </c>
      <c r="I189" s="20">
        <v>50</v>
      </c>
    </row>
    <row r="190" spans="1:9" ht="49.5" customHeight="1">
      <c r="A190" s="45" t="s">
        <v>213</v>
      </c>
      <c r="B190" s="27" t="s">
        <v>73</v>
      </c>
      <c r="C190" s="15" t="s">
        <v>214</v>
      </c>
      <c r="D190" s="7"/>
      <c r="E190" s="8">
        <f>E191</f>
        <v>110</v>
      </c>
      <c r="F190" s="8" t="str">
        <f>F191</f>
        <v>-78,3</v>
      </c>
      <c r="G190" s="8">
        <f>G191</f>
        <v>31.700000000000003</v>
      </c>
      <c r="H190" s="8">
        <f>H191</f>
        <v>110</v>
      </c>
      <c r="I190" s="8">
        <f>I191</f>
        <v>110</v>
      </c>
    </row>
    <row r="191" spans="1:9" ht="47.25">
      <c r="A191" s="45" t="s">
        <v>449</v>
      </c>
      <c r="B191" s="42" t="s">
        <v>73</v>
      </c>
      <c r="C191" s="15" t="s">
        <v>214</v>
      </c>
      <c r="D191" s="42" t="s">
        <v>8</v>
      </c>
      <c r="E191" s="20">
        <v>110</v>
      </c>
      <c r="F191" s="20" t="s">
        <v>467</v>
      </c>
      <c r="G191" s="20">
        <f>E191+F191</f>
        <v>31.700000000000003</v>
      </c>
      <c r="H191" s="20">
        <v>110</v>
      </c>
      <c r="I191" s="20">
        <v>110</v>
      </c>
    </row>
    <row r="192" spans="1:9" ht="63">
      <c r="A192" s="45" t="s">
        <v>21</v>
      </c>
      <c r="B192" s="42" t="s">
        <v>73</v>
      </c>
      <c r="C192" s="15" t="s">
        <v>162</v>
      </c>
      <c r="D192" s="21"/>
      <c r="E192" s="20">
        <f>E193</f>
        <v>2121</v>
      </c>
      <c r="F192" s="151">
        <f>F193</f>
        <v>242.3</v>
      </c>
      <c r="G192" s="20">
        <f>G193</f>
        <v>2363.3</v>
      </c>
      <c r="H192" s="20">
        <f>H193</f>
        <v>980</v>
      </c>
      <c r="I192" s="20">
        <f>I193</f>
        <v>980</v>
      </c>
    </row>
    <row r="193" spans="1:9" ht="47.25">
      <c r="A193" s="45" t="s">
        <v>449</v>
      </c>
      <c r="B193" s="42" t="s">
        <v>73</v>
      </c>
      <c r="C193" s="15" t="s">
        <v>162</v>
      </c>
      <c r="D193" s="42" t="s">
        <v>8</v>
      </c>
      <c r="E193" s="20">
        <v>2121</v>
      </c>
      <c r="F193" s="140">
        <f>59+183.3</f>
        <v>242.3</v>
      </c>
      <c r="G193" s="20">
        <f>E193+F193</f>
        <v>2363.3</v>
      </c>
      <c r="H193" s="20">
        <v>980</v>
      </c>
      <c r="I193" s="20">
        <v>980</v>
      </c>
    </row>
    <row r="194" spans="1:9" ht="31.5">
      <c r="A194" s="45" t="s">
        <v>188</v>
      </c>
      <c r="B194" s="42" t="s">
        <v>73</v>
      </c>
      <c r="C194" s="15" t="s">
        <v>187</v>
      </c>
      <c r="D194" s="21"/>
      <c r="E194" s="20">
        <f>E195</f>
        <v>265</v>
      </c>
      <c r="F194" s="20">
        <f>F195</f>
        <v>-146</v>
      </c>
      <c r="G194" s="20">
        <f>G195</f>
        <v>119</v>
      </c>
      <c r="H194" s="20">
        <f>H195</f>
        <v>265</v>
      </c>
      <c r="I194" s="20">
        <f>I195</f>
        <v>265</v>
      </c>
    </row>
    <row r="195" spans="1:9" ht="47.25">
      <c r="A195" s="45" t="s">
        <v>449</v>
      </c>
      <c r="B195" s="42" t="s">
        <v>73</v>
      </c>
      <c r="C195" s="15" t="s">
        <v>187</v>
      </c>
      <c r="D195" s="42" t="s">
        <v>8</v>
      </c>
      <c r="E195" s="20">
        <v>265</v>
      </c>
      <c r="F195" s="20">
        <v>-146</v>
      </c>
      <c r="G195" s="20">
        <f>E195+F195</f>
        <v>119</v>
      </c>
      <c r="H195" s="20">
        <v>265</v>
      </c>
      <c r="I195" s="20">
        <v>265</v>
      </c>
    </row>
    <row r="196" spans="1:9" ht="15.75">
      <c r="A196" s="45" t="s">
        <v>59</v>
      </c>
      <c r="B196" s="42" t="s">
        <v>73</v>
      </c>
      <c r="C196" s="15" t="s">
        <v>163</v>
      </c>
      <c r="D196" s="21"/>
      <c r="E196" s="20">
        <f>E197</f>
        <v>150</v>
      </c>
      <c r="F196" s="20" t="str">
        <f>F197</f>
        <v>-13,8</v>
      </c>
      <c r="G196" s="20">
        <f>G197</f>
        <v>136.2</v>
      </c>
      <c r="H196" s="20">
        <f>H197</f>
        <v>150</v>
      </c>
      <c r="I196" s="20">
        <f>I197</f>
        <v>150</v>
      </c>
    </row>
    <row r="197" spans="1:9" ht="47.25">
      <c r="A197" s="45" t="s">
        <v>449</v>
      </c>
      <c r="B197" s="42" t="s">
        <v>73</v>
      </c>
      <c r="C197" s="15" t="s">
        <v>163</v>
      </c>
      <c r="D197" s="42" t="s">
        <v>8</v>
      </c>
      <c r="E197" s="20">
        <v>150</v>
      </c>
      <c r="F197" s="20" t="s">
        <v>468</v>
      </c>
      <c r="G197" s="20">
        <f>E197+F197</f>
        <v>136.2</v>
      </c>
      <c r="H197" s="20">
        <v>150</v>
      </c>
      <c r="I197" s="20">
        <v>150</v>
      </c>
    </row>
    <row r="198" spans="1:9" ht="69.75" customHeight="1">
      <c r="A198" s="45" t="s">
        <v>277</v>
      </c>
      <c r="B198" s="42" t="s">
        <v>73</v>
      </c>
      <c r="C198" s="15" t="s">
        <v>278</v>
      </c>
      <c r="D198" s="42"/>
      <c r="E198" s="20">
        <f>E199</f>
        <v>203.4</v>
      </c>
      <c r="F198" s="20">
        <f>F199</f>
        <v>0</v>
      </c>
      <c r="G198" s="20">
        <f>G199</f>
        <v>203.4</v>
      </c>
      <c r="H198" s="20">
        <f>H199</f>
        <v>203.4</v>
      </c>
      <c r="I198" s="20">
        <f>I199</f>
        <v>203.4</v>
      </c>
    </row>
    <row r="199" spans="1:9" ht="47.25">
      <c r="A199" s="45" t="s">
        <v>449</v>
      </c>
      <c r="B199" s="42" t="s">
        <v>73</v>
      </c>
      <c r="C199" s="15" t="s">
        <v>278</v>
      </c>
      <c r="D199" s="42" t="s">
        <v>8</v>
      </c>
      <c r="E199" s="20">
        <f>199.3+4.1</f>
        <v>203.4</v>
      </c>
      <c r="F199" s="42"/>
      <c r="G199" s="20">
        <f>199.3+4.1</f>
        <v>203.4</v>
      </c>
      <c r="H199" s="20">
        <f>199.3+4.1</f>
        <v>203.4</v>
      </c>
      <c r="I199" s="20">
        <f>199.3+4.1</f>
        <v>203.4</v>
      </c>
    </row>
    <row r="200" spans="1:9" ht="31.5">
      <c r="A200" s="160" t="s">
        <v>310</v>
      </c>
      <c r="B200" s="72" t="s">
        <v>73</v>
      </c>
      <c r="C200" s="71" t="s">
        <v>128</v>
      </c>
      <c r="D200" s="71" t="s">
        <v>0</v>
      </c>
      <c r="E200" s="77">
        <f>E204+E213+E216+E201</f>
        <v>20647</v>
      </c>
      <c r="F200" s="77">
        <f>F204+F213+F216+F201</f>
        <v>1474.7</v>
      </c>
      <c r="G200" s="77">
        <f>G204+G213+G216+G201</f>
        <v>22121.7</v>
      </c>
      <c r="H200" s="77">
        <f>H204+H213+H216+H201</f>
        <v>19604.6</v>
      </c>
      <c r="I200" s="77">
        <f>I204+I213+I216+I201</f>
        <v>18699.1</v>
      </c>
    </row>
    <row r="201" spans="1:9" ht="15.75">
      <c r="A201" s="161" t="s">
        <v>311</v>
      </c>
      <c r="B201" s="78" t="s">
        <v>73</v>
      </c>
      <c r="C201" s="11" t="s">
        <v>280</v>
      </c>
      <c r="D201" s="11" t="s">
        <v>0</v>
      </c>
      <c r="E201" s="12">
        <f aca="true" t="shared" si="4" ref="E201:I202">E202</f>
        <v>1100.3</v>
      </c>
      <c r="F201" s="12">
        <f t="shared" si="4"/>
        <v>0</v>
      </c>
      <c r="G201" s="12">
        <f t="shared" si="4"/>
        <v>1100.3</v>
      </c>
      <c r="H201" s="12">
        <f t="shared" si="4"/>
        <v>0</v>
      </c>
      <c r="I201" s="12">
        <f t="shared" si="4"/>
        <v>0</v>
      </c>
    </row>
    <row r="202" spans="1:9" ht="15.75">
      <c r="A202" s="45" t="s">
        <v>279</v>
      </c>
      <c r="B202" s="27" t="s">
        <v>73</v>
      </c>
      <c r="C202" s="35" t="s">
        <v>336</v>
      </c>
      <c r="D202" s="9"/>
      <c r="E202" s="20">
        <f t="shared" si="4"/>
        <v>1100.3</v>
      </c>
      <c r="F202" s="20">
        <f t="shared" si="4"/>
        <v>0</v>
      </c>
      <c r="G202" s="20">
        <f t="shared" si="4"/>
        <v>1100.3</v>
      </c>
      <c r="H202" s="20">
        <f t="shared" si="4"/>
        <v>0</v>
      </c>
      <c r="I202" s="20">
        <f t="shared" si="4"/>
        <v>0</v>
      </c>
    </row>
    <row r="203" spans="1:9" ht="47.25">
      <c r="A203" s="45" t="s">
        <v>449</v>
      </c>
      <c r="B203" s="42" t="s">
        <v>73</v>
      </c>
      <c r="C203" s="35" t="s">
        <v>336</v>
      </c>
      <c r="D203" s="42" t="s">
        <v>8</v>
      </c>
      <c r="E203" s="20">
        <v>1100.3</v>
      </c>
      <c r="F203" s="121"/>
      <c r="G203" s="20">
        <f>E203+F203</f>
        <v>1100.3</v>
      </c>
      <c r="H203" s="20">
        <v>0</v>
      </c>
      <c r="I203" s="20">
        <v>0</v>
      </c>
    </row>
    <row r="204" spans="1:9" ht="47.25">
      <c r="A204" s="161" t="s">
        <v>320</v>
      </c>
      <c r="B204" s="78" t="s">
        <v>73</v>
      </c>
      <c r="C204" s="11" t="s">
        <v>138</v>
      </c>
      <c r="D204" s="11" t="s">
        <v>0</v>
      </c>
      <c r="E204" s="12">
        <f>E205+E207+E211</f>
        <v>19008</v>
      </c>
      <c r="F204" s="12">
        <f>F205+F207+F211</f>
        <v>1554.7</v>
      </c>
      <c r="G204" s="12">
        <f>G205+G207+G211</f>
        <v>20562.7</v>
      </c>
      <c r="H204" s="12">
        <f>H205+H207+H211</f>
        <v>18845.899999999998</v>
      </c>
      <c r="I204" s="12">
        <f>I205+I207+I211</f>
        <v>17940.399999999998</v>
      </c>
    </row>
    <row r="205" spans="1:9" ht="15.75">
      <c r="A205" s="45" t="s">
        <v>33</v>
      </c>
      <c r="B205" s="27" t="s">
        <v>73</v>
      </c>
      <c r="C205" s="35" t="s">
        <v>139</v>
      </c>
      <c r="D205" s="9"/>
      <c r="E205" s="20">
        <f>E206</f>
        <v>91.8</v>
      </c>
      <c r="F205" s="20">
        <f>F206</f>
        <v>0</v>
      </c>
      <c r="G205" s="20">
        <f>G206</f>
        <v>91.8</v>
      </c>
      <c r="H205" s="20">
        <f>H206</f>
        <v>91.8</v>
      </c>
      <c r="I205" s="20">
        <f>I206</f>
        <v>91.8</v>
      </c>
    </row>
    <row r="206" spans="1:9" ht="47.25">
      <c r="A206" s="45" t="s">
        <v>449</v>
      </c>
      <c r="B206" s="42" t="s">
        <v>73</v>
      </c>
      <c r="C206" s="35" t="s">
        <v>139</v>
      </c>
      <c r="D206" s="42" t="s">
        <v>8</v>
      </c>
      <c r="E206" s="20">
        <v>91.8</v>
      </c>
      <c r="F206" s="42"/>
      <c r="G206" s="20">
        <v>91.8</v>
      </c>
      <c r="H206" s="20">
        <v>91.8</v>
      </c>
      <c r="I206" s="20">
        <v>91.8</v>
      </c>
    </row>
    <row r="207" spans="1:9" ht="15.75">
      <c r="A207" s="45" t="s">
        <v>61</v>
      </c>
      <c r="B207" s="42" t="s">
        <v>73</v>
      </c>
      <c r="C207" s="35" t="s">
        <v>337</v>
      </c>
      <c r="D207" s="42"/>
      <c r="E207" s="43">
        <f>E208+E209+E210</f>
        <v>18916.2</v>
      </c>
      <c r="F207" s="43">
        <f>F208+F209+F210</f>
        <v>1554.7</v>
      </c>
      <c r="G207" s="43">
        <f>G208+G209+G210</f>
        <v>20470.9</v>
      </c>
      <c r="H207" s="43">
        <f>H208+H209+H210</f>
        <v>17794.1</v>
      </c>
      <c r="I207" s="43">
        <f>I208+I209+I210</f>
        <v>17848.6</v>
      </c>
    </row>
    <row r="208" spans="1:9" ht="63">
      <c r="A208" s="45" t="s">
        <v>14</v>
      </c>
      <c r="B208" s="42" t="s">
        <v>73</v>
      </c>
      <c r="C208" s="35" t="s">
        <v>337</v>
      </c>
      <c r="D208" s="42" t="s">
        <v>15</v>
      </c>
      <c r="E208" s="36">
        <v>16736.5</v>
      </c>
      <c r="F208" s="36">
        <f>1554.8-0.1</f>
        <v>1554.7</v>
      </c>
      <c r="G208" s="36">
        <f>E208+F208</f>
        <v>18291.2</v>
      </c>
      <c r="H208" s="36">
        <v>16720.1</v>
      </c>
      <c r="I208" s="36">
        <v>16720.1</v>
      </c>
    </row>
    <row r="209" spans="1:9" ht="47.25">
      <c r="A209" s="45" t="s">
        <v>449</v>
      </c>
      <c r="B209" s="42" t="s">
        <v>73</v>
      </c>
      <c r="C209" s="35" t="s">
        <v>337</v>
      </c>
      <c r="D209" s="42" t="s">
        <v>8</v>
      </c>
      <c r="E209" s="36">
        <v>2128.8</v>
      </c>
      <c r="F209" s="43">
        <v>0</v>
      </c>
      <c r="G209" s="36">
        <f>E209+F209</f>
        <v>2128.8</v>
      </c>
      <c r="H209" s="36">
        <v>1038.1</v>
      </c>
      <c r="I209" s="36">
        <v>1092.6</v>
      </c>
    </row>
    <row r="210" spans="1:9" ht="15.75">
      <c r="A210" s="45" t="s">
        <v>9</v>
      </c>
      <c r="B210" s="42" t="s">
        <v>73</v>
      </c>
      <c r="C210" s="35" t="s">
        <v>338</v>
      </c>
      <c r="D210" s="42" t="s">
        <v>12</v>
      </c>
      <c r="E210" s="36">
        <v>50.9</v>
      </c>
      <c r="F210" s="42"/>
      <c r="G210" s="36">
        <v>50.9</v>
      </c>
      <c r="H210" s="36">
        <v>35.9</v>
      </c>
      <c r="I210" s="36">
        <v>35.9</v>
      </c>
    </row>
    <row r="211" spans="1:9" ht="31.5">
      <c r="A211" s="45" t="s">
        <v>476</v>
      </c>
      <c r="B211" s="42" t="s">
        <v>73</v>
      </c>
      <c r="C211" s="35" t="s">
        <v>475</v>
      </c>
      <c r="D211" s="42"/>
      <c r="E211" s="36">
        <f>E212</f>
        <v>0</v>
      </c>
      <c r="F211" s="36">
        <f>F212</f>
        <v>0</v>
      </c>
      <c r="G211" s="36">
        <f>G212</f>
        <v>0</v>
      </c>
      <c r="H211" s="36">
        <f>H212</f>
        <v>960</v>
      </c>
      <c r="I211" s="36">
        <f>I212</f>
        <v>0</v>
      </c>
    </row>
    <row r="212" spans="1:9" ht="47.25">
      <c r="A212" s="45" t="s">
        <v>449</v>
      </c>
      <c r="B212" s="42" t="s">
        <v>73</v>
      </c>
      <c r="C212" s="35" t="s">
        <v>475</v>
      </c>
      <c r="D212" s="42" t="s">
        <v>8</v>
      </c>
      <c r="E212" s="36">
        <v>0</v>
      </c>
      <c r="F212" s="43">
        <v>0</v>
      </c>
      <c r="G212" s="36">
        <f>E212+F212</f>
        <v>0</v>
      </c>
      <c r="H212" s="36">
        <v>960</v>
      </c>
      <c r="I212" s="36">
        <v>0</v>
      </c>
    </row>
    <row r="213" spans="1:9" ht="31.5">
      <c r="A213" s="161" t="s">
        <v>312</v>
      </c>
      <c r="B213" s="78" t="s">
        <v>73</v>
      </c>
      <c r="C213" s="11" t="s">
        <v>127</v>
      </c>
      <c r="D213" s="11"/>
      <c r="E213" s="12">
        <f aca="true" t="shared" si="5" ref="E213:I214">E214</f>
        <v>458.7</v>
      </c>
      <c r="F213" s="147">
        <f t="shared" si="5"/>
        <v>0</v>
      </c>
      <c r="G213" s="12">
        <f t="shared" si="5"/>
        <v>458.7</v>
      </c>
      <c r="H213" s="12">
        <f t="shared" si="5"/>
        <v>608.7</v>
      </c>
      <c r="I213" s="12">
        <f t="shared" si="5"/>
        <v>608.7</v>
      </c>
    </row>
    <row r="214" spans="1:9" ht="31.5">
      <c r="A214" s="45" t="s">
        <v>34</v>
      </c>
      <c r="B214" s="27" t="s">
        <v>73</v>
      </c>
      <c r="C214" s="35" t="s">
        <v>140</v>
      </c>
      <c r="D214" s="21"/>
      <c r="E214" s="43">
        <f t="shared" si="5"/>
        <v>458.7</v>
      </c>
      <c r="F214" s="47">
        <f t="shared" si="5"/>
        <v>0</v>
      </c>
      <c r="G214" s="43">
        <f t="shared" si="5"/>
        <v>458.7</v>
      </c>
      <c r="H214" s="43">
        <f t="shared" si="5"/>
        <v>608.7</v>
      </c>
      <c r="I214" s="43">
        <f t="shared" si="5"/>
        <v>608.7</v>
      </c>
    </row>
    <row r="215" spans="1:9" ht="47.25">
      <c r="A215" s="45" t="s">
        <v>449</v>
      </c>
      <c r="B215" s="42" t="s">
        <v>73</v>
      </c>
      <c r="C215" s="35" t="s">
        <v>140</v>
      </c>
      <c r="D215" s="21" t="s">
        <v>8</v>
      </c>
      <c r="E215" s="20">
        <v>458.7</v>
      </c>
      <c r="F215" s="150"/>
      <c r="G215" s="20">
        <f>E215+F215</f>
        <v>458.7</v>
      </c>
      <c r="H215" s="20">
        <v>608.7</v>
      </c>
      <c r="I215" s="20">
        <v>608.7</v>
      </c>
    </row>
    <row r="216" spans="1:9" ht="31.5">
      <c r="A216" s="11" t="s">
        <v>88</v>
      </c>
      <c r="B216" s="78" t="s">
        <v>73</v>
      </c>
      <c r="C216" s="11" t="s">
        <v>141</v>
      </c>
      <c r="D216" s="11"/>
      <c r="E216" s="12">
        <f>E217+E219+E221</f>
        <v>80</v>
      </c>
      <c r="F216" s="12">
        <f>F217+F219+F221</f>
        <v>-80</v>
      </c>
      <c r="G216" s="12">
        <f>G217+G219+G221</f>
        <v>0</v>
      </c>
      <c r="H216" s="12">
        <f>H217+H219+H221</f>
        <v>150</v>
      </c>
      <c r="I216" s="12">
        <f>I217+I219+I221</f>
        <v>150</v>
      </c>
    </row>
    <row r="217" spans="1:9" ht="78.75">
      <c r="A217" s="45" t="s">
        <v>376</v>
      </c>
      <c r="B217" s="42" t="s">
        <v>73</v>
      </c>
      <c r="C217" s="35" t="s">
        <v>142</v>
      </c>
      <c r="D217" s="21"/>
      <c r="E217" s="20">
        <f>E218</f>
        <v>40</v>
      </c>
      <c r="F217" s="20">
        <f>F218</f>
        <v>-40</v>
      </c>
      <c r="G217" s="20">
        <f>G218</f>
        <v>0</v>
      </c>
      <c r="H217" s="20">
        <f>H218</f>
        <v>40</v>
      </c>
      <c r="I217" s="20">
        <f>I218</f>
        <v>40</v>
      </c>
    </row>
    <row r="218" spans="1:9" ht="47.25">
      <c r="A218" s="45" t="s">
        <v>449</v>
      </c>
      <c r="B218" s="42" t="s">
        <v>73</v>
      </c>
      <c r="C218" s="35" t="s">
        <v>142</v>
      </c>
      <c r="D218" s="21" t="s">
        <v>8</v>
      </c>
      <c r="E218" s="20">
        <v>40</v>
      </c>
      <c r="F218" s="20">
        <v>-40</v>
      </c>
      <c r="G218" s="20">
        <f>E218+F218</f>
        <v>0</v>
      </c>
      <c r="H218" s="20">
        <v>40</v>
      </c>
      <c r="I218" s="20">
        <v>40</v>
      </c>
    </row>
    <row r="219" spans="1:9" ht="63">
      <c r="A219" s="45" t="s">
        <v>375</v>
      </c>
      <c r="B219" s="42" t="s">
        <v>73</v>
      </c>
      <c r="C219" s="35" t="s">
        <v>143</v>
      </c>
      <c r="D219" s="21"/>
      <c r="E219" s="20">
        <f>E220</f>
        <v>0</v>
      </c>
      <c r="F219" s="20" t="str">
        <f>F220</f>
        <v>0</v>
      </c>
      <c r="G219" s="20">
        <f>G220</f>
        <v>0</v>
      </c>
      <c r="H219" s="20">
        <f>H220</f>
        <v>70</v>
      </c>
      <c r="I219" s="20">
        <f>I220</f>
        <v>70</v>
      </c>
    </row>
    <row r="220" spans="1:9" ht="47.25">
      <c r="A220" s="45" t="s">
        <v>449</v>
      </c>
      <c r="B220" s="42" t="s">
        <v>73</v>
      </c>
      <c r="C220" s="35" t="s">
        <v>143</v>
      </c>
      <c r="D220" s="21" t="s">
        <v>8</v>
      </c>
      <c r="E220" s="20">
        <v>0</v>
      </c>
      <c r="F220" s="152" t="s">
        <v>451</v>
      </c>
      <c r="G220" s="20">
        <f>E220+F220</f>
        <v>0</v>
      </c>
      <c r="H220" s="20">
        <v>70</v>
      </c>
      <c r="I220" s="20">
        <v>70</v>
      </c>
    </row>
    <row r="221" spans="1:9" ht="57.75" customHeight="1">
      <c r="A221" s="45" t="s">
        <v>90</v>
      </c>
      <c r="B221" s="42" t="s">
        <v>73</v>
      </c>
      <c r="C221" s="35" t="s">
        <v>144</v>
      </c>
      <c r="D221" s="21"/>
      <c r="E221" s="20">
        <f>E222</f>
        <v>40</v>
      </c>
      <c r="F221" s="20">
        <f>F222</f>
        <v>-40</v>
      </c>
      <c r="G221" s="20">
        <f>G222</f>
        <v>0</v>
      </c>
      <c r="H221" s="20">
        <f>H222</f>
        <v>40</v>
      </c>
      <c r="I221" s="20">
        <f>I222</f>
        <v>40</v>
      </c>
    </row>
    <row r="222" spans="1:9" ht="47.25">
      <c r="A222" s="45" t="s">
        <v>449</v>
      </c>
      <c r="B222" s="42" t="s">
        <v>73</v>
      </c>
      <c r="C222" s="35" t="s">
        <v>144</v>
      </c>
      <c r="D222" s="21" t="s">
        <v>8</v>
      </c>
      <c r="E222" s="20">
        <v>40</v>
      </c>
      <c r="F222" s="20">
        <v>-40</v>
      </c>
      <c r="G222" s="20">
        <f>E222+F222</f>
        <v>0</v>
      </c>
      <c r="H222" s="20">
        <v>40</v>
      </c>
      <c r="I222" s="20">
        <v>40</v>
      </c>
    </row>
    <row r="223" spans="1:9" ht="15.75">
      <c r="A223" s="160" t="s">
        <v>313</v>
      </c>
      <c r="B223" s="72" t="s">
        <v>73</v>
      </c>
      <c r="C223" s="71" t="s">
        <v>168</v>
      </c>
      <c r="D223" s="71" t="s">
        <v>0</v>
      </c>
      <c r="E223" s="77">
        <f>E224+E227+E238</f>
        <v>28062.7</v>
      </c>
      <c r="F223" s="77">
        <f>F224+F227+F238</f>
        <v>0</v>
      </c>
      <c r="G223" s="77">
        <f>G224+G227+G238</f>
        <v>28062.7</v>
      </c>
      <c r="H223" s="77">
        <f>H224+H227+H238</f>
        <v>19909</v>
      </c>
      <c r="I223" s="77">
        <f>I224+I227+I238</f>
        <v>19909</v>
      </c>
    </row>
    <row r="224" spans="1:9" ht="15.75">
      <c r="A224" s="161" t="s">
        <v>314</v>
      </c>
      <c r="B224" s="78" t="s">
        <v>73</v>
      </c>
      <c r="C224" s="11" t="s">
        <v>169</v>
      </c>
      <c r="D224" s="11" t="s">
        <v>0</v>
      </c>
      <c r="E224" s="12">
        <f aca="true" t="shared" si="6" ref="E224:I225">E225</f>
        <v>120</v>
      </c>
      <c r="F224" s="12">
        <f t="shared" si="6"/>
        <v>0</v>
      </c>
      <c r="G224" s="12">
        <f t="shared" si="6"/>
        <v>120</v>
      </c>
      <c r="H224" s="12">
        <f t="shared" si="6"/>
        <v>120</v>
      </c>
      <c r="I224" s="12">
        <f>I225</f>
        <v>120</v>
      </c>
    </row>
    <row r="225" spans="1:9" ht="31.5">
      <c r="A225" s="45" t="s">
        <v>54</v>
      </c>
      <c r="B225" s="42" t="s">
        <v>73</v>
      </c>
      <c r="C225" s="15" t="s">
        <v>328</v>
      </c>
      <c r="D225" s="42"/>
      <c r="E225" s="43">
        <f t="shared" si="6"/>
        <v>120</v>
      </c>
      <c r="F225" s="43">
        <f t="shared" si="6"/>
        <v>0</v>
      </c>
      <c r="G225" s="43">
        <f t="shared" si="6"/>
        <v>120</v>
      </c>
      <c r="H225" s="43">
        <f t="shared" si="6"/>
        <v>120</v>
      </c>
      <c r="I225" s="43">
        <f t="shared" si="6"/>
        <v>120</v>
      </c>
    </row>
    <row r="226" spans="1:9" ht="63">
      <c r="A226" s="45" t="s">
        <v>14</v>
      </c>
      <c r="B226" s="42" t="s">
        <v>73</v>
      </c>
      <c r="C226" s="15" t="s">
        <v>328</v>
      </c>
      <c r="D226" s="42" t="s">
        <v>15</v>
      </c>
      <c r="E226" s="43">
        <v>120</v>
      </c>
      <c r="F226" s="42"/>
      <c r="G226" s="43">
        <v>120</v>
      </c>
      <c r="H226" s="43">
        <v>120</v>
      </c>
      <c r="I226" s="43">
        <v>120</v>
      </c>
    </row>
    <row r="227" spans="1:9" ht="47.25">
      <c r="A227" s="161" t="s">
        <v>315</v>
      </c>
      <c r="B227" s="78" t="s">
        <v>73</v>
      </c>
      <c r="C227" s="11" t="s">
        <v>129</v>
      </c>
      <c r="D227" s="11" t="s">
        <v>0</v>
      </c>
      <c r="E227" s="12">
        <f>E234+E228+E236+E232+E230</f>
        <v>27762.7</v>
      </c>
      <c r="F227" s="12">
        <f>F234+F228+F236+F232+F230</f>
        <v>0</v>
      </c>
      <c r="G227" s="12">
        <f>G234+G228+G236+G232+G230</f>
        <v>27762.7</v>
      </c>
      <c r="H227" s="12">
        <f>H234+H228+H236+H232+H230</f>
        <v>19689</v>
      </c>
      <c r="I227" s="12">
        <f>I234+I228+I236+I232+I230</f>
        <v>19689</v>
      </c>
    </row>
    <row r="228" spans="1:9" ht="101.25" customHeight="1">
      <c r="A228" s="45" t="s">
        <v>64</v>
      </c>
      <c r="B228" s="27" t="s">
        <v>73</v>
      </c>
      <c r="C228" s="93" t="s">
        <v>201</v>
      </c>
      <c r="D228" s="92"/>
      <c r="E228" s="90">
        <f>E229</f>
        <v>4926.1</v>
      </c>
      <c r="F228" s="90">
        <f>F229</f>
        <v>0</v>
      </c>
      <c r="G228" s="90">
        <f>G229</f>
        <v>4926.1</v>
      </c>
      <c r="H228" s="90">
        <f>H229</f>
        <v>16351</v>
      </c>
      <c r="I228" s="90">
        <f>I229</f>
        <v>16351</v>
      </c>
    </row>
    <row r="229" spans="1:9" ht="31.5">
      <c r="A229" s="45" t="s">
        <v>29</v>
      </c>
      <c r="B229" s="27" t="s">
        <v>73</v>
      </c>
      <c r="C229" s="92" t="s">
        <v>201</v>
      </c>
      <c r="D229" s="92" t="s">
        <v>24</v>
      </c>
      <c r="E229" s="90">
        <v>4926.1</v>
      </c>
      <c r="F229" s="90">
        <v>0</v>
      </c>
      <c r="G229" s="90">
        <v>4926.1</v>
      </c>
      <c r="H229" s="90">
        <f>18167.8-1816.8</f>
        <v>16351</v>
      </c>
      <c r="I229" s="90">
        <f>18167.8-1816.8</f>
        <v>16351</v>
      </c>
    </row>
    <row r="230" spans="1:9" ht="126">
      <c r="A230" s="45" t="s">
        <v>64</v>
      </c>
      <c r="B230" s="27" t="s">
        <v>73</v>
      </c>
      <c r="C230" s="15" t="s">
        <v>381</v>
      </c>
      <c r="D230" s="92"/>
      <c r="E230" s="90">
        <f>E231</f>
        <v>13241.7</v>
      </c>
      <c r="F230" s="90">
        <f>F231</f>
        <v>0</v>
      </c>
      <c r="G230" s="90">
        <f>G231</f>
        <v>13241.7</v>
      </c>
      <c r="H230" s="90">
        <f>H231</f>
        <v>0</v>
      </c>
      <c r="I230" s="90">
        <f>I231</f>
        <v>0</v>
      </c>
    </row>
    <row r="231" spans="1:9" ht="31.5">
      <c r="A231" s="45" t="s">
        <v>29</v>
      </c>
      <c r="B231" s="27" t="s">
        <v>73</v>
      </c>
      <c r="C231" s="15" t="s">
        <v>381</v>
      </c>
      <c r="D231" s="92" t="s">
        <v>24</v>
      </c>
      <c r="E231" s="90">
        <v>13241.7</v>
      </c>
      <c r="F231" s="92"/>
      <c r="G231" s="90">
        <v>13241.7</v>
      </c>
      <c r="H231" s="90">
        <v>0</v>
      </c>
      <c r="I231" s="90">
        <v>0</v>
      </c>
    </row>
    <row r="232" spans="1:9" ht="47.25">
      <c r="A232" s="45" t="s">
        <v>226</v>
      </c>
      <c r="B232" s="42" t="s">
        <v>73</v>
      </c>
      <c r="C232" s="15" t="s">
        <v>252</v>
      </c>
      <c r="D232" s="42"/>
      <c r="E232" s="43">
        <f>E233</f>
        <v>1669</v>
      </c>
      <c r="F232" s="43">
        <f>F233</f>
        <v>0</v>
      </c>
      <c r="G232" s="43">
        <f>G233</f>
        <v>1669</v>
      </c>
      <c r="H232" s="43">
        <f>H233</f>
        <v>1669</v>
      </c>
      <c r="I232" s="43">
        <f>I233</f>
        <v>1669</v>
      </c>
    </row>
    <row r="233" spans="1:9" ht="15.75">
      <c r="A233" s="45" t="s">
        <v>27</v>
      </c>
      <c r="B233" s="42" t="s">
        <v>73</v>
      </c>
      <c r="C233" s="15" t="s">
        <v>252</v>
      </c>
      <c r="D233" s="42" t="s">
        <v>16</v>
      </c>
      <c r="E233" s="43">
        <v>1669</v>
      </c>
      <c r="F233" s="42"/>
      <c r="G233" s="43">
        <f>E233+F233</f>
        <v>1669</v>
      </c>
      <c r="H233" s="43">
        <v>1669</v>
      </c>
      <c r="I233" s="43">
        <v>1669</v>
      </c>
    </row>
    <row r="234" spans="1:9" ht="46.5" customHeight="1">
      <c r="A234" s="45" t="s">
        <v>225</v>
      </c>
      <c r="B234" s="42" t="s">
        <v>73</v>
      </c>
      <c r="C234" s="15" t="s">
        <v>251</v>
      </c>
      <c r="D234" s="42"/>
      <c r="E234" s="43">
        <f>E235</f>
        <v>1669</v>
      </c>
      <c r="F234" s="43">
        <f>F235</f>
        <v>0</v>
      </c>
      <c r="G234" s="43">
        <f>G235</f>
        <v>1669</v>
      </c>
      <c r="H234" s="43">
        <f>H235</f>
        <v>1669</v>
      </c>
      <c r="I234" s="43">
        <f>I235</f>
        <v>1669</v>
      </c>
    </row>
    <row r="235" spans="1:9" ht="15.75">
      <c r="A235" s="45" t="s">
        <v>27</v>
      </c>
      <c r="B235" s="42" t="s">
        <v>73</v>
      </c>
      <c r="C235" s="15" t="s">
        <v>251</v>
      </c>
      <c r="D235" s="42" t="s">
        <v>16</v>
      </c>
      <c r="E235" s="43">
        <v>1669</v>
      </c>
      <c r="F235" s="42"/>
      <c r="G235" s="43">
        <f>E235+F235</f>
        <v>1669</v>
      </c>
      <c r="H235" s="43">
        <v>1669</v>
      </c>
      <c r="I235" s="43">
        <v>1669</v>
      </c>
    </row>
    <row r="236" spans="1:9" ht="51" customHeight="1">
      <c r="A236" s="45" t="s">
        <v>243</v>
      </c>
      <c r="B236" s="42" t="s">
        <v>73</v>
      </c>
      <c r="C236" s="15" t="s">
        <v>221</v>
      </c>
      <c r="D236" s="42"/>
      <c r="E236" s="43">
        <f>E237</f>
        <v>6256.9</v>
      </c>
      <c r="F236" s="43">
        <f>F237</f>
        <v>0</v>
      </c>
      <c r="G236" s="43">
        <f>G237</f>
        <v>6256.9</v>
      </c>
      <c r="H236" s="43">
        <f>H237</f>
        <v>0</v>
      </c>
      <c r="I236" s="43">
        <f>I237</f>
        <v>0</v>
      </c>
    </row>
    <row r="237" spans="1:9" ht="15.75">
      <c r="A237" s="45" t="s">
        <v>27</v>
      </c>
      <c r="B237" s="42" t="s">
        <v>73</v>
      </c>
      <c r="C237" s="15" t="s">
        <v>221</v>
      </c>
      <c r="D237" s="42" t="s">
        <v>16</v>
      </c>
      <c r="E237" s="43">
        <v>6256.9</v>
      </c>
      <c r="F237" s="144"/>
      <c r="G237" s="43">
        <f>E237+F237</f>
        <v>6256.9</v>
      </c>
      <c r="H237" s="43">
        <v>0</v>
      </c>
      <c r="I237" s="43">
        <v>0</v>
      </c>
    </row>
    <row r="238" spans="1:9" ht="31.5">
      <c r="A238" s="161" t="s">
        <v>316</v>
      </c>
      <c r="B238" s="78" t="s">
        <v>73</v>
      </c>
      <c r="C238" s="11" t="s">
        <v>171</v>
      </c>
      <c r="D238" s="11" t="s">
        <v>0</v>
      </c>
      <c r="E238" s="12">
        <f>E239+E241</f>
        <v>180</v>
      </c>
      <c r="F238" s="12">
        <f>F239+F241</f>
        <v>0</v>
      </c>
      <c r="G238" s="12">
        <f>G239+G241</f>
        <v>180</v>
      </c>
      <c r="H238" s="12">
        <f>H239+H241</f>
        <v>100</v>
      </c>
      <c r="I238" s="12">
        <f>I239+I241</f>
        <v>100</v>
      </c>
    </row>
    <row r="239" spans="1:9" ht="47.25">
      <c r="A239" s="45" t="s">
        <v>36</v>
      </c>
      <c r="B239" s="27" t="s">
        <v>73</v>
      </c>
      <c r="C239" s="15" t="s">
        <v>172</v>
      </c>
      <c r="D239" s="15"/>
      <c r="E239" s="17">
        <f>E240</f>
        <v>80</v>
      </c>
      <c r="F239" s="17">
        <f>F240</f>
        <v>0</v>
      </c>
      <c r="G239" s="17">
        <f>G240</f>
        <v>80</v>
      </c>
      <c r="H239" s="17">
        <f>H240</f>
        <v>80</v>
      </c>
      <c r="I239" s="17">
        <f>I240</f>
        <v>80</v>
      </c>
    </row>
    <row r="240" spans="1:9" ht="31.5">
      <c r="A240" s="45" t="s">
        <v>10</v>
      </c>
      <c r="B240" s="42" t="s">
        <v>73</v>
      </c>
      <c r="C240" s="15" t="s">
        <v>172</v>
      </c>
      <c r="D240" s="42" t="s">
        <v>11</v>
      </c>
      <c r="E240" s="43">
        <v>80</v>
      </c>
      <c r="F240" s="126"/>
      <c r="G240" s="43">
        <v>80</v>
      </c>
      <c r="H240" s="43">
        <v>80</v>
      </c>
      <c r="I240" s="43">
        <v>80</v>
      </c>
    </row>
    <row r="241" spans="1:9" ht="47.25">
      <c r="A241" s="45" t="s">
        <v>200</v>
      </c>
      <c r="B241" s="42" t="s">
        <v>73</v>
      </c>
      <c r="C241" s="15" t="s">
        <v>195</v>
      </c>
      <c r="D241" s="15"/>
      <c r="E241" s="17">
        <f>E242</f>
        <v>100</v>
      </c>
      <c r="F241" s="149">
        <f>F242</f>
        <v>0</v>
      </c>
      <c r="G241" s="17">
        <f>G242</f>
        <v>100</v>
      </c>
      <c r="H241" s="17">
        <f>H242</f>
        <v>20</v>
      </c>
      <c r="I241" s="17">
        <f>I242</f>
        <v>20</v>
      </c>
    </row>
    <row r="242" spans="1:9" ht="31.5">
      <c r="A242" s="45" t="s">
        <v>10</v>
      </c>
      <c r="B242" s="42" t="s">
        <v>73</v>
      </c>
      <c r="C242" s="15" t="s">
        <v>195</v>
      </c>
      <c r="D242" s="42" t="s">
        <v>11</v>
      </c>
      <c r="E242" s="43">
        <v>100</v>
      </c>
      <c r="F242" s="140"/>
      <c r="G242" s="43">
        <f>E242+F242</f>
        <v>100</v>
      </c>
      <c r="H242" s="43">
        <v>20</v>
      </c>
      <c r="I242" s="43">
        <v>20</v>
      </c>
    </row>
    <row r="243" spans="1:9" ht="15.75">
      <c r="A243" s="70" t="s">
        <v>30</v>
      </c>
      <c r="B243" s="72" t="s">
        <v>73</v>
      </c>
      <c r="C243" s="72" t="s">
        <v>96</v>
      </c>
      <c r="D243" s="72" t="s">
        <v>0</v>
      </c>
      <c r="E243" s="158">
        <f>E274+E272+E268+E266+E270+E250+E252+E254+E256++E258+E260+E264+E246+E244+E262</f>
        <v>6807.700000000001</v>
      </c>
      <c r="F243" s="158">
        <f>F274+F272+F268+F266+F270+F250+F252+F254+F256++F258+F260+F264+F246+F244+F262</f>
        <v>14338.099999999999</v>
      </c>
      <c r="G243" s="158">
        <f>G274+G272+G268+G266+G270+G250+G252+G254+G256++G258+G260+G264+G246+G244+G262</f>
        <v>21145.8</v>
      </c>
      <c r="H243" s="158">
        <f>H274+H272+H268+H266+H270+H250+H252+H254+H256++H258+H260+H264+H246+H244+H262</f>
        <v>101.3</v>
      </c>
      <c r="I243" s="158">
        <f>I274+I272+I268+I266+I270+I250+I252+I254+I256++I258+I260+I264+I246+I244+I262</f>
        <v>568.2</v>
      </c>
    </row>
    <row r="244" spans="1:9" ht="15.75">
      <c r="A244" s="45" t="s">
        <v>410</v>
      </c>
      <c r="B244" s="27" t="s">
        <v>73</v>
      </c>
      <c r="C244" s="42" t="s">
        <v>411</v>
      </c>
      <c r="D244" s="60"/>
      <c r="E244" s="43">
        <f>E245</f>
        <v>2699.5</v>
      </c>
      <c r="F244" s="43">
        <f>F245</f>
        <v>0</v>
      </c>
      <c r="G244" s="43">
        <f>G245</f>
        <v>2699.5</v>
      </c>
      <c r="H244" s="43">
        <f>H245</f>
        <v>0</v>
      </c>
      <c r="I244" s="43">
        <f>I245</f>
        <v>0</v>
      </c>
    </row>
    <row r="245" spans="1:9" ht="15.75">
      <c r="A245" s="45" t="s">
        <v>9</v>
      </c>
      <c r="B245" s="27" t="s">
        <v>73</v>
      </c>
      <c r="C245" s="42" t="s">
        <v>411</v>
      </c>
      <c r="D245" s="42" t="s">
        <v>12</v>
      </c>
      <c r="E245" s="43">
        <v>2699.5</v>
      </c>
      <c r="F245" s="37"/>
      <c r="G245" s="43">
        <f>E245+F245</f>
        <v>2699.5</v>
      </c>
      <c r="H245" s="43">
        <v>0</v>
      </c>
      <c r="I245" s="43">
        <v>0</v>
      </c>
    </row>
    <row r="246" spans="1:9" ht="31.5">
      <c r="A246" s="45" t="s">
        <v>60</v>
      </c>
      <c r="B246" s="27" t="s">
        <v>73</v>
      </c>
      <c r="C246" s="42" t="s">
        <v>103</v>
      </c>
      <c r="D246" s="60"/>
      <c r="E246" s="43">
        <f>E249+E247+E248</f>
        <v>1128</v>
      </c>
      <c r="F246" s="43">
        <f>F249+F247+F248</f>
        <v>14212.199999999999</v>
      </c>
      <c r="G246" s="43">
        <f>G249+G247+G248</f>
        <v>15340.199999999999</v>
      </c>
      <c r="H246" s="43">
        <f>H249+H247+H248</f>
        <v>0</v>
      </c>
      <c r="I246" s="43">
        <f>I249+I247+I248</f>
        <v>0</v>
      </c>
    </row>
    <row r="247" spans="1:9" ht="47.25">
      <c r="A247" s="45" t="s">
        <v>449</v>
      </c>
      <c r="B247" s="27" t="s">
        <v>73</v>
      </c>
      <c r="C247" s="42" t="s">
        <v>103</v>
      </c>
      <c r="D247" s="42" t="s">
        <v>8</v>
      </c>
      <c r="E247" s="43">
        <v>75</v>
      </c>
      <c r="F247" s="43">
        <f>970.8+1928.1+730.1</f>
        <v>3628.9999999999995</v>
      </c>
      <c r="G247" s="43">
        <f>E247+F247</f>
        <v>3703.9999999999995</v>
      </c>
      <c r="H247" s="43">
        <v>0</v>
      </c>
      <c r="I247" s="43">
        <v>0</v>
      </c>
    </row>
    <row r="248" spans="1:9" ht="15.75">
      <c r="A248" s="45" t="s">
        <v>27</v>
      </c>
      <c r="B248" s="27" t="s">
        <v>73</v>
      </c>
      <c r="C248" s="42" t="s">
        <v>103</v>
      </c>
      <c r="D248" s="42" t="s">
        <v>16</v>
      </c>
      <c r="E248" s="43">
        <v>0</v>
      </c>
      <c r="F248" s="43">
        <v>60</v>
      </c>
      <c r="G248" s="43">
        <f>E248+F248</f>
        <v>60</v>
      </c>
      <c r="H248" s="43">
        <v>0</v>
      </c>
      <c r="I248" s="43">
        <v>0</v>
      </c>
    </row>
    <row r="249" spans="1:9" ht="15.75">
      <c r="A249" s="45" t="s">
        <v>9</v>
      </c>
      <c r="B249" s="27" t="s">
        <v>73</v>
      </c>
      <c r="C249" s="42" t="s">
        <v>103</v>
      </c>
      <c r="D249" s="42" t="s">
        <v>12</v>
      </c>
      <c r="E249" s="43">
        <v>1053</v>
      </c>
      <c r="F249" s="37">
        <f>8723.8+1530+80+171.9+17.4+0.1</f>
        <v>10523.199999999999</v>
      </c>
      <c r="G249" s="43">
        <f>E249+F249</f>
        <v>11576.199999999999</v>
      </c>
      <c r="H249" s="43">
        <v>0</v>
      </c>
      <c r="I249" s="43">
        <v>0</v>
      </c>
    </row>
    <row r="250" spans="1:9" ht="157.5">
      <c r="A250" s="45" t="s">
        <v>398</v>
      </c>
      <c r="B250" s="42" t="s">
        <v>73</v>
      </c>
      <c r="C250" s="42" t="s">
        <v>399</v>
      </c>
      <c r="D250" s="42"/>
      <c r="E250" s="43">
        <f>E251</f>
        <v>19.3</v>
      </c>
      <c r="F250" s="37"/>
      <c r="G250" s="43">
        <f>G251</f>
        <v>19.3</v>
      </c>
      <c r="H250" s="43">
        <f>H251</f>
        <v>0</v>
      </c>
      <c r="I250" s="43">
        <f>I251</f>
        <v>0</v>
      </c>
    </row>
    <row r="251" spans="1:9" ht="47.25">
      <c r="A251" s="45" t="s">
        <v>449</v>
      </c>
      <c r="B251" s="42" t="s">
        <v>73</v>
      </c>
      <c r="C251" s="42" t="s">
        <v>399</v>
      </c>
      <c r="D251" s="42" t="s">
        <v>8</v>
      </c>
      <c r="E251" s="43">
        <v>19.3</v>
      </c>
      <c r="F251" s="130"/>
      <c r="G251" s="43">
        <f>E251+F251</f>
        <v>19.3</v>
      </c>
      <c r="H251" s="43">
        <v>0</v>
      </c>
      <c r="I251" s="43">
        <v>0</v>
      </c>
    </row>
    <row r="252" spans="1:9" ht="78.75">
      <c r="A252" s="45" t="s">
        <v>400</v>
      </c>
      <c r="B252" s="42" t="s">
        <v>73</v>
      </c>
      <c r="C252" s="42" t="s">
        <v>401</v>
      </c>
      <c r="D252" s="42"/>
      <c r="E252" s="43">
        <f>E253</f>
        <v>42.3</v>
      </c>
      <c r="F252" s="37">
        <f>F253</f>
        <v>0</v>
      </c>
      <c r="G252" s="43">
        <f>G253</f>
        <v>42.3</v>
      </c>
      <c r="H252" s="43">
        <f>H253</f>
        <v>0</v>
      </c>
      <c r="I252" s="43">
        <f>I253</f>
        <v>0</v>
      </c>
    </row>
    <row r="253" spans="1:9" ht="47.25">
      <c r="A253" s="45" t="s">
        <v>449</v>
      </c>
      <c r="B253" s="42" t="s">
        <v>73</v>
      </c>
      <c r="C253" s="42" t="s">
        <v>401</v>
      </c>
      <c r="D253" s="42" t="s">
        <v>8</v>
      </c>
      <c r="E253" s="43">
        <v>42.3</v>
      </c>
      <c r="F253" s="130"/>
      <c r="G253" s="43">
        <f>E253+F253</f>
        <v>42.3</v>
      </c>
      <c r="H253" s="43">
        <v>0</v>
      </c>
      <c r="I253" s="43">
        <v>0</v>
      </c>
    </row>
    <row r="254" spans="1:9" ht="78.75">
      <c r="A254" s="45" t="s">
        <v>402</v>
      </c>
      <c r="B254" s="42" t="s">
        <v>73</v>
      </c>
      <c r="C254" s="42" t="s">
        <v>403</v>
      </c>
      <c r="D254" s="21"/>
      <c r="E254" s="43">
        <f>E255</f>
        <v>38.6</v>
      </c>
      <c r="F254" s="37">
        <f>F255</f>
        <v>0</v>
      </c>
      <c r="G254" s="43">
        <f>G255</f>
        <v>38.6</v>
      </c>
      <c r="H254" s="43">
        <f>H255</f>
        <v>0</v>
      </c>
      <c r="I254" s="43">
        <f>I255</f>
        <v>0</v>
      </c>
    </row>
    <row r="255" spans="1:9" ht="47.25">
      <c r="A255" s="45" t="s">
        <v>449</v>
      </c>
      <c r="B255" s="42" t="s">
        <v>73</v>
      </c>
      <c r="C255" s="42" t="s">
        <v>403</v>
      </c>
      <c r="D255" s="21" t="s">
        <v>8</v>
      </c>
      <c r="E255" s="43">
        <v>38.6</v>
      </c>
      <c r="F255" s="130"/>
      <c r="G255" s="43">
        <f>E255+F255</f>
        <v>38.6</v>
      </c>
      <c r="H255" s="43">
        <v>0</v>
      </c>
      <c r="I255" s="43">
        <v>0</v>
      </c>
    </row>
    <row r="256" spans="1:9" ht="78.75">
      <c r="A256" s="45" t="s">
        <v>404</v>
      </c>
      <c r="B256" s="42" t="s">
        <v>73</v>
      </c>
      <c r="C256" s="42" t="s">
        <v>405</v>
      </c>
      <c r="D256" s="21"/>
      <c r="E256" s="43">
        <f>E257</f>
        <v>10.6</v>
      </c>
      <c r="F256" s="37">
        <f>F257</f>
        <v>0.6</v>
      </c>
      <c r="G256" s="43">
        <f>G257</f>
        <v>11.2</v>
      </c>
      <c r="H256" s="43">
        <f>H257</f>
        <v>0</v>
      </c>
      <c r="I256" s="43">
        <f>I257</f>
        <v>0</v>
      </c>
    </row>
    <row r="257" spans="1:9" ht="47.25">
      <c r="A257" s="45" t="s">
        <v>449</v>
      </c>
      <c r="B257" s="42" t="s">
        <v>73</v>
      </c>
      <c r="C257" s="42" t="s">
        <v>405</v>
      </c>
      <c r="D257" s="21" t="s">
        <v>8</v>
      </c>
      <c r="E257" s="43">
        <v>10.6</v>
      </c>
      <c r="F257" s="130">
        <v>0.6</v>
      </c>
      <c r="G257" s="43">
        <f>E257+F257</f>
        <v>11.2</v>
      </c>
      <c r="H257" s="43">
        <v>0</v>
      </c>
      <c r="I257" s="43">
        <v>0</v>
      </c>
    </row>
    <row r="258" spans="1:9" ht="94.5">
      <c r="A258" s="45" t="s">
        <v>406</v>
      </c>
      <c r="B258" s="42" t="s">
        <v>73</v>
      </c>
      <c r="C258" s="42" t="s">
        <v>407</v>
      </c>
      <c r="D258" s="21"/>
      <c r="E258" s="43">
        <f>E259</f>
        <v>123.1</v>
      </c>
      <c r="F258" s="37">
        <f>F259</f>
        <v>0</v>
      </c>
      <c r="G258" s="43">
        <f>G259</f>
        <v>123.1</v>
      </c>
      <c r="H258" s="43">
        <f>H259</f>
        <v>0</v>
      </c>
      <c r="I258" s="43">
        <f>I259</f>
        <v>0</v>
      </c>
    </row>
    <row r="259" spans="1:9" ht="47.25">
      <c r="A259" s="45" t="s">
        <v>449</v>
      </c>
      <c r="B259" s="42" t="s">
        <v>73</v>
      </c>
      <c r="C259" s="42" t="s">
        <v>407</v>
      </c>
      <c r="D259" s="21" t="s">
        <v>8</v>
      </c>
      <c r="E259" s="43">
        <v>123.1</v>
      </c>
      <c r="F259" s="130"/>
      <c r="G259" s="43">
        <f>E259+F259</f>
        <v>123.1</v>
      </c>
      <c r="H259" s="43">
        <v>0</v>
      </c>
      <c r="I259" s="43">
        <v>0</v>
      </c>
    </row>
    <row r="260" spans="1:9" ht="110.25">
      <c r="A260" s="45" t="s">
        <v>408</v>
      </c>
      <c r="B260" s="42" t="s">
        <v>73</v>
      </c>
      <c r="C260" s="42" t="s">
        <v>409</v>
      </c>
      <c r="D260" s="42"/>
      <c r="E260" s="43">
        <f>E261</f>
        <v>19.4</v>
      </c>
      <c r="F260" s="37">
        <f>F261</f>
        <v>0</v>
      </c>
      <c r="G260" s="43">
        <f>G261</f>
        <v>19.4</v>
      </c>
      <c r="H260" s="43">
        <f>H261</f>
        <v>0</v>
      </c>
      <c r="I260" s="43">
        <f>I261</f>
        <v>0</v>
      </c>
    </row>
    <row r="261" spans="1:9" ht="47.25">
      <c r="A261" s="45" t="s">
        <v>449</v>
      </c>
      <c r="B261" s="42" t="s">
        <v>73</v>
      </c>
      <c r="C261" s="42" t="s">
        <v>409</v>
      </c>
      <c r="D261" s="42" t="s">
        <v>8</v>
      </c>
      <c r="E261" s="43">
        <v>19.4</v>
      </c>
      <c r="F261" s="130"/>
      <c r="G261" s="43">
        <f>E261+F261</f>
        <v>19.4</v>
      </c>
      <c r="H261" s="43">
        <v>0</v>
      </c>
      <c r="I261" s="43">
        <v>0</v>
      </c>
    </row>
    <row r="262" spans="1:9" ht="80.25" customHeight="1">
      <c r="A262" s="45" t="s">
        <v>446</v>
      </c>
      <c r="B262" s="42" t="s">
        <v>73</v>
      </c>
      <c r="C262" s="42" t="s">
        <v>445</v>
      </c>
      <c r="D262" s="42"/>
      <c r="E262" s="43">
        <f>E263</f>
        <v>60</v>
      </c>
      <c r="F262" s="43">
        <f>F263</f>
        <v>0</v>
      </c>
      <c r="G262" s="43">
        <f>G263</f>
        <v>60</v>
      </c>
      <c r="H262" s="43">
        <f>H263</f>
        <v>0</v>
      </c>
      <c r="I262" s="43">
        <f>I263</f>
        <v>0</v>
      </c>
    </row>
    <row r="263" spans="1:9" ht="15.75">
      <c r="A263" s="45" t="s">
        <v>42</v>
      </c>
      <c r="B263" s="42" t="s">
        <v>73</v>
      </c>
      <c r="C263" s="42" t="s">
        <v>445</v>
      </c>
      <c r="D263" s="42" t="s">
        <v>43</v>
      </c>
      <c r="E263" s="43">
        <v>60</v>
      </c>
      <c r="F263" s="130"/>
      <c r="G263" s="43">
        <f>E263+F263</f>
        <v>60</v>
      </c>
      <c r="H263" s="43">
        <v>0</v>
      </c>
      <c r="I263" s="43">
        <v>0</v>
      </c>
    </row>
    <row r="264" spans="1:9" ht="31.5">
      <c r="A264" s="45" t="s">
        <v>414</v>
      </c>
      <c r="B264" s="42" t="s">
        <v>73</v>
      </c>
      <c r="C264" s="42" t="s">
        <v>413</v>
      </c>
      <c r="D264" s="42"/>
      <c r="E264" s="43">
        <f>E265</f>
        <v>580</v>
      </c>
      <c r="F264" s="145">
        <f>F265</f>
        <v>621.9</v>
      </c>
      <c r="G264" s="43">
        <f>E264+F264</f>
        <v>1201.9</v>
      </c>
      <c r="H264" s="43">
        <f>H265</f>
        <v>0</v>
      </c>
      <c r="I264" s="43">
        <f>I265</f>
        <v>0</v>
      </c>
    </row>
    <row r="265" spans="1:9" ht="47.25">
      <c r="A265" s="45" t="s">
        <v>449</v>
      </c>
      <c r="B265" s="42" t="s">
        <v>73</v>
      </c>
      <c r="C265" s="42" t="s">
        <v>413</v>
      </c>
      <c r="D265" s="42" t="s">
        <v>8</v>
      </c>
      <c r="E265" s="43">
        <v>580</v>
      </c>
      <c r="F265" s="145">
        <v>621.9</v>
      </c>
      <c r="G265" s="43">
        <f>E265+F265</f>
        <v>1201.9</v>
      </c>
      <c r="H265" s="43">
        <v>0</v>
      </c>
      <c r="I265" s="43">
        <v>0</v>
      </c>
    </row>
    <row r="266" spans="1:9" ht="31.5">
      <c r="A266" s="45" t="s">
        <v>257</v>
      </c>
      <c r="B266" s="42" t="s">
        <v>73</v>
      </c>
      <c r="C266" s="42" t="s">
        <v>258</v>
      </c>
      <c r="D266" s="21"/>
      <c r="E266" s="43">
        <f>E267</f>
        <v>50</v>
      </c>
      <c r="F266" s="43">
        <f>F267</f>
        <v>0</v>
      </c>
      <c r="G266" s="43">
        <f>G267</f>
        <v>50</v>
      </c>
      <c r="H266" s="43">
        <f>H267</f>
        <v>0</v>
      </c>
      <c r="I266" s="43">
        <f>I267</f>
        <v>0</v>
      </c>
    </row>
    <row r="267" spans="1:9" ht="47.25">
      <c r="A267" s="45" t="s">
        <v>449</v>
      </c>
      <c r="B267" s="42" t="s">
        <v>73</v>
      </c>
      <c r="C267" s="42" t="s">
        <v>258</v>
      </c>
      <c r="D267" s="21" t="s">
        <v>8</v>
      </c>
      <c r="E267" s="43">
        <v>50</v>
      </c>
      <c r="F267" s="21"/>
      <c r="G267" s="43">
        <v>50</v>
      </c>
      <c r="H267" s="43">
        <v>0</v>
      </c>
      <c r="I267" s="43">
        <v>0</v>
      </c>
    </row>
    <row r="268" spans="1:9" ht="47.25">
      <c r="A268" s="45" t="s">
        <v>247</v>
      </c>
      <c r="B268" s="42" t="s">
        <v>73</v>
      </c>
      <c r="C268" s="42" t="s">
        <v>248</v>
      </c>
      <c r="D268" s="58"/>
      <c r="E268" s="43">
        <f>E269</f>
        <v>94.8</v>
      </c>
      <c r="F268" s="43" t="str">
        <f>F269</f>
        <v>-46,6</v>
      </c>
      <c r="G268" s="43">
        <f>G269</f>
        <v>48.199999999999996</v>
      </c>
      <c r="H268" s="43">
        <f>H269</f>
        <v>101.3</v>
      </c>
      <c r="I268" s="43">
        <f>I269</f>
        <v>568.2</v>
      </c>
    </row>
    <row r="269" spans="1:9" ht="47.25">
      <c r="A269" s="45" t="s">
        <v>449</v>
      </c>
      <c r="B269" s="42" t="s">
        <v>73</v>
      </c>
      <c r="C269" s="42" t="s">
        <v>248</v>
      </c>
      <c r="D269" s="21" t="s">
        <v>8</v>
      </c>
      <c r="E269" s="43">
        <v>94.8</v>
      </c>
      <c r="F269" s="152" t="s">
        <v>463</v>
      </c>
      <c r="G269" s="43">
        <f>E269+F269</f>
        <v>48.199999999999996</v>
      </c>
      <c r="H269" s="43">
        <v>101.3</v>
      </c>
      <c r="I269" s="43">
        <v>568.2</v>
      </c>
    </row>
    <row r="270" spans="1:9" ht="15.75">
      <c r="A270" s="45" t="s">
        <v>333</v>
      </c>
      <c r="B270" s="42" t="s">
        <v>73</v>
      </c>
      <c r="C270" s="42" t="s">
        <v>332</v>
      </c>
      <c r="D270" s="21"/>
      <c r="E270" s="43">
        <f>E271</f>
        <v>858.6</v>
      </c>
      <c r="F270" s="43">
        <f>F271</f>
        <v>0</v>
      </c>
      <c r="G270" s="43">
        <f>G271</f>
        <v>858.6</v>
      </c>
      <c r="H270" s="43">
        <f>H271</f>
        <v>0</v>
      </c>
      <c r="I270" s="43">
        <f>I271</f>
        <v>0</v>
      </c>
    </row>
    <row r="271" spans="1:9" ht="47.25">
      <c r="A271" s="45" t="s">
        <v>449</v>
      </c>
      <c r="B271" s="42" t="s">
        <v>73</v>
      </c>
      <c r="C271" s="42" t="s">
        <v>332</v>
      </c>
      <c r="D271" s="21" t="s">
        <v>8</v>
      </c>
      <c r="E271" s="43">
        <v>858.6</v>
      </c>
      <c r="F271" s="137">
        <f>-0.1+0.1</f>
        <v>0</v>
      </c>
      <c r="G271" s="43">
        <f>E271+F271</f>
        <v>858.6</v>
      </c>
      <c r="H271" s="43">
        <v>0</v>
      </c>
      <c r="I271" s="43">
        <v>0</v>
      </c>
    </row>
    <row r="272" spans="1:9" ht="47.25">
      <c r="A272" s="45" t="s">
        <v>231</v>
      </c>
      <c r="B272" s="42" t="s">
        <v>73</v>
      </c>
      <c r="C272" s="42" t="s">
        <v>230</v>
      </c>
      <c r="D272" s="42"/>
      <c r="E272" s="47">
        <f>E273</f>
        <v>633.5</v>
      </c>
      <c r="F272" s="47">
        <f>F273</f>
        <v>0</v>
      </c>
      <c r="G272" s="47">
        <f>G273</f>
        <v>633.5</v>
      </c>
      <c r="H272" s="47">
        <f>H273</f>
        <v>0</v>
      </c>
      <c r="I272" s="47">
        <f>I273</f>
        <v>0</v>
      </c>
    </row>
    <row r="273" spans="1:9" ht="15.75">
      <c r="A273" s="45" t="s">
        <v>27</v>
      </c>
      <c r="B273" s="42" t="s">
        <v>73</v>
      </c>
      <c r="C273" s="42" t="s">
        <v>230</v>
      </c>
      <c r="D273" s="42" t="s">
        <v>16</v>
      </c>
      <c r="E273" s="47">
        <v>633.5</v>
      </c>
      <c r="F273" s="42"/>
      <c r="G273" s="47">
        <v>633.5</v>
      </c>
      <c r="H273" s="47">
        <v>0</v>
      </c>
      <c r="I273" s="47">
        <v>0</v>
      </c>
    </row>
    <row r="274" spans="1:9" ht="47.25">
      <c r="A274" s="45" t="s">
        <v>56</v>
      </c>
      <c r="B274" s="56">
        <v>923</v>
      </c>
      <c r="C274" s="56" t="s">
        <v>107</v>
      </c>
      <c r="D274" s="56"/>
      <c r="E274" s="37">
        <f>E275</f>
        <v>450</v>
      </c>
      <c r="F274" s="37">
        <f>F275</f>
        <v>-450</v>
      </c>
      <c r="G274" s="37">
        <f>G275</f>
        <v>0</v>
      </c>
      <c r="H274" s="37">
        <f>H275</f>
        <v>0</v>
      </c>
      <c r="I274" s="37">
        <f>I275</f>
        <v>0</v>
      </c>
    </row>
    <row r="275" spans="1:9" ht="15.75">
      <c r="A275" s="45" t="s">
        <v>9</v>
      </c>
      <c r="B275" s="56">
        <v>923</v>
      </c>
      <c r="C275" s="56" t="s">
        <v>107</v>
      </c>
      <c r="D275" s="56">
        <v>800</v>
      </c>
      <c r="E275" s="37">
        <f>500-50</f>
        <v>450</v>
      </c>
      <c r="F275" s="37">
        <v>-450</v>
      </c>
      <c r="G275" s="37">
        <f>E275+F275</f>
        <v>0</v>
      </c>
      <c r="H275" s="37">
        <v>0</v>
      </c>
      <c r="I275" s="37">
        <v>0</v>
      </c>
    </row>
    <row r="276" spans="1:9" ht="31.5">
      <c r="A276" s="170" t="s">
        <v>74</v>
      </c>
      <c r="B276" s="33" t="s">
        <v>75</v>
      </c>
      <c r="C276" s="75"/>
      <c r="D276" s="75"/>
      <c r="E276" s="31">
        <f>E277+E330</f>
        <v>179497.30000000008</v>
      </c>
      <c r="F276" s="31">
        <f>F277+F330</f>
        <v>2457</v>
      </c>
      <c r="G276" s="31">
        <f>G277+G330</f>
        <v>181954.30000000005</v>
      </c>
      <c r="H276" s="31">
        <f>H277+H330</f>
        <v>169113.40000000002</v>
      </c>
      <c r="I276" s="31">
        <f>I277+I330</f>
        <v>177755.20000000004</v>
      </c>
    </row>
    <row r="277" spans="1:9" ht="31.5">
      <c r="A277" s="160" t="s">
        <v>321</v>
      </c>
      <c r="B277" s="71" t="s">
        <v>75</v>
      </c>
      <c r="C277" s="71" t="s">
        <v>131</v>
      </c>
      <c r="D277" s="71" t="s">
        <v>0</v>
      </c>
      <c r="E277" s="77">
        <f>E278+E292+E302+E310+E318+E322+E326+E290+E282+E284+E306+E308+E314+E312+E304+E280+E296+E286+E294+E288+E298+E300+E320+E316</f>
        <v>178691.80000000008</v>
      </c>
      <c r="F277" s="77">
        <f>F278+F292+F302+F310+F318+F322+F326+F290+F282+F284+F306+F308+F314+F312+F304+F280+F296+F286+F294+F288+F298+F300+F320+F316</f>
        <v>2457</v>
      </c>
      <c r="G277" s="77">
        <f>G278+G292+G302+G310+G318+G322+G326+G290+G282+G284+G306+G308+G314+G312+G304+G280+G296+G286+G294+G288+G298+G300+G320+G316</f>
        <v>181148.80000000005</v>
      </c>
      <c r="H277" s="77">
        <f>H278+H292+H302+H310+H318+H322+H326+H290+H282+H284+H306+H308+H314+H312+H304+H280+H296+H286+H294+H288+H298+H300+H320+H316</f>
        <v>168307.90000000002</v>
      </c>
      <c r="I277" s="77">
        <f>I278+I292+I302+I310+I318+I322+I326+I290+I282+I284+I306+I308+I314+I312+I304+I280+I296+I286+I294+I288+I298+I300+I320+I316</f>
        <v>176949.70000000004</v>
      </c>
    </row>
    <row r="278" spans="1:9" ht="31.5">
      <c r="A278" s="45" t="s">
        <v>358</v>
      </c>
      <c r="B278" s="42" t="s">
        <v>75</v>
      </c>
      <c r="C278" s="42" t="s">
        <v>130</v>
      </c>
      <c r="D278" s="42"/>
      <c r="E278" s="111">
        <f>E279</f>
        <v>12132.1</v>
      </c>
      <c r="F278" s="111">
        <f>F279</f>
        <v>0</v>
      </c>
      <c r="G278" s="111">
        <f>G279</f>
        <v>12132.1</v>
      </c>
      <c r="H278" s="20">
        <f>H279</f>
        <v>15237.7</v>
      </c>
      <c r="I278" s="20">
        <f>I279</f>
        <v>15730.900000000003</v>
      </c>
    </row>
    <row r="279" spans="1:9" ht="31.5">
      <c r="A279" s="45" t="s">
        <v>10</v>
      </c>
      <c r="B279" s="42" t="s">
        <v>75</v>
      </c>
      <c r="C279" s="42" t="s">
        <v>130</v>
      </c>
      <c r="D279" s="42" t="s">
        <v>11</v>
      </c>
      <c r="E279" s="20">
        <v>12132.1</v>
      </c>
      <c r="F279" s="20"/>
      <c r="G279" s="20">
        <f>F279+E279</f>
        <v>12132.1</v>
      </c>
      <c r="H279" s="20">
        <f>20938-22.1-174.5-5503.7</f>
        <v>15237.7</v>
      </c>
      <c r="I279" s="20">
        <f>21938-22.1-190.1-5994.9</f>
        <v>15730.900000000003</v>
      </c>
    </row>
    <row r="280" spans="1:9" ht="63">
      <c r="A280" s="45" t="s">
        <v>285</v>
      </c>
      <c r="B280" s="42" t="s">
        <v>75</v>
      </c>
      <c r="C280" s="42" t="s">
        <v>284</v>
      </c>
      <c r="D280" s="42"/>
      <c r="E280" s="20">
        <f>E281</f>
        <v>5030.7</v>
      </c>
      <c r="F280" s="20">
        <f>F281</f>
        <v>0</v>
      </c>
      <c r="G280" s="20">
        <f>G281</f>
        <v>5030.7</v>
      </c>
      <c r="H280" s="20">
        <f>H281</f>
        <v>5503.7</v>
      </c>
      <c r="I280" s="20">
        <f>I281</f>
        <v>5994.9</v>
      </c>
    </row>
    <row r="281" spans="1:9" ht="15.75">
      <c r="A281" s="45" t="s">
        <v>42</v>
      </c>
      <c r="B281" s="42" t="s">
        <v>75</v>
      </c>
      <c r="C281" s="42" t="s">
        <v>284</v>
      </c>
      <c r="D281" s="42" t="s">
        <v>43</v>
      </c>
      <c r="E281" s="20">
        <v>5030.7</v>
      </c>
      <c r="F281" s="42"/>
      <c r="G281" s="20">
        <v>5030.7</v>
      </c>
      <c r="H281" s="20">
        <v>5503.7</v>
      </c>
      <c r="I281" s="20">
        <v>5994.9</v>
      </c>
    </row>
    <row r="282" spans="1:9" ht="63">
      <c r="A282" s="45" t="s">
        <v>267</v>
      </c>
      <c r="B282" s="42" t="s">
        <v>75</v>
      </c>
      <c r="C282" s="42" t="s">
        <v>266</v>
      </c>
      <c r="D282" s="42"/>
      <c r="E282" s="20">
        <f>E283</f>
        <v>15951.2</v>
      </c>
      <c r="F282" s="20">
        <f>F283</f>
        <v>0</v>
      </c>
      <c r="G282" s="20">
        <f>G283</f>
        <v>15951.2</v>
      </c>
      <c r="H282" s="20">
        <f>H283</f>
        <v>17450.2</v>
      </c>
      <c r="I282" s="20">
        <f>I283</f>
        <v>19008.2</v>
      </c>
    </row>
    <row r="283" spans="1:9" ht="31.5">
      <c r="A283" s="45" t="s">
        <v>10</v>
      </c>
      <c r="B283" s="42" t="s">
        <v>75</v>
      </c>
      <c r="C283" s="42" t="s">
        <v>266</v>
      </c>
      <c r="D283" s="42" t="s">
        <v>11</v>
      </c>
      <c r="E283" s="20">
        <f>10761+159.5+5030.7</f>
        <v>15951.2</v>
      </c>
      <c r="F283" s="42"/>
      <c r="G283" s="20">
        <f>10761+159.5+5030.7</f>
        <v>15951.2</v>
      </c>
      <c r="H283" s="20">
        <f>11772+174.5+5503.7</f>
        <v>17450.2</v>
      </c>
      <c r="I283" s="20">
        <f>12823.2+190.1+5994.9</f>
        <v>19008.2</v>
      </c>
    </row>
    <row r="284" spans="1:9" ht="31.5">
      <c r="A284" s="45" t="s">
        <v>261</v>
      </c>
      <c r="B284" s="42" t="s">
        <v>75</v>
      </c>
      <c r="C284" s="42" t="s">
        <v>260</v>
      </c>
      <c r="D284" s="42"/>
      <c r="E284" s="20">
        <f>E285</f>
        <v>44.1</v>
      </c>
      <c r="F284" s="20">
        <f>F285</f>
        <v>0</v>
      </c>
      <c r="G284" s="20">
        <f>G285</f>
        <v>44.1</v>
      </c>
      <c r="H284" s="20">
        <f>H285</f>
        <v>44.1</v>
      </c>
      <c r="I284" s="20">
        <f>I285</f>
        <v>44.1</v>
      </c>
    </row>
    <row r="285" spans="1:9" ht="31.5">
      <c r="A285" s="45" t="s">
        <v>10</v>
      </c>
      <c r="B285" s="42" t="s">
        <v>75</v>
      </c>
      <c r="C285" s="42" t="s">
        <v>260</v>
      </c>
      <c r="D285" s="42" t="s">
        <v>11</v>
      </c>
      <c r="E285" s="20">
        <f>22+22.1</f>
        <v>44.1</v>
      </c>
      <c r="F285" s="42"/>
      <c r="G285" s="20">
        <f>22+22.1</f>
        <v>44.1</v>
      </c>
      <c r="H285" s="20">
        <f>22+22.1</f>
        <v>44.1</v>
      </c>
      <c r="I285" s="20">
        <f>22+22.1</f>
        <v>44.1</v>
      </c>
    </row>
    <row r="286" spans="1:9" ht="31.5">
      <c r="A286" s="45" t="s">
        <v>389</v>
      </c>
      <c r="B286" s="42" t="s">
        <v>75</v>
      </c>
      <c r="C286" s="42" t="s">
        <v>390</v>
      </c>
      <c r="D286" s="42"/>
      <c r="E286" s="20">
        <f>E287</f>
        <v>4996.3</v>
      </c>
      <c r="F286" s="20">
        <f>F287</f>
        <v>115</v>
      </c>
      <c r="G286" s="20">
        <f>G287</f>
        <v>5111.3</v>
      </c>
      <c r="H286" s="20">
        <f>H287</f>
        <v>0</v>
      </c>
      <c r="I286" s="20">
        <f>I287</f>
        <v>0</v>
      </c>
    </row>
    <row r="287" spans="1:9" ht="31.5">
      <c r="A287" s="45" t="s">
        <v>10</v>
      </c>
      <c r="B287" s="42" t="s">
        <v>75</v>
      </c>
      <c r="C287" s="42" t="s">
        <v>390</v>
      </c>
      <c r="D287" s="42" t="s">
        <v>11</v>
      </c>
      <c r="E287" s="20">
        <v>4996.3</v>
      </c>
      <c r="F287" s="121">
        <v>115</v>
      </c>
      <c r="G287" s="20">
        <f>E287+F287</f>
        <v>5111.3</v>
      </c>
      <c r="H287" s="20">
        <f aca="true" t="shared" si="7" ref="H287:I290">H288</f>
        <v>0</v>
      </c>
      <c r="I287" s="20">
        <f t="shared" si="7"/>
        <v>0</v>
      </c>
    </row>
    <row r="288" spans="1:9" ht="31.5">
      <c r="A288" s="45" t="s">
        <v>389</v>
      </c>
      <c r="B288" s="42" t="s">
        <v>75</v>
      </c>
      <c r="C288" s="42" t="s">
        <v>428</v>
      </c>
      <c r="D288" s="42"/>
      <c r="E288" s="20">
        <f>E289</f>
        <v>36.7</v>
      </c>
      <c r="F288" s="20">
        <f>F289</f>
        <v>0</v>
      </c>
      <c r="G288" s="20">
        <f>G289</f>
        <v>36.7</v>
      </c>
      <c r="H288" s="20">
        <f t="shared" si="7"/>
        <v>0</v>
      </c>
      <c r="I288" s="20">
        <f t="shared" si="7"/>
        <v>0</v>
      </c>
    </row>
    <row r="289" spans="1:9" ht="31.5">
      <c r="A289" s="45" t="s">
        <v>10</v>
      </c>
      <c r="B289" s="42" t="s">
        <v>75</v>
      </c>
      <c r="C289" s="42" t="s">
        <v>428</v>
      </c>
      <c r="D289" s="42" t="s">
        <v>11</v>
      </c>
      <c r="E289" s="20">
        <v>36.7</v>
      </c>
      <c r="F289" s="121"/>
      <c r="G289" s="20">
        <f>E289+F289</f>
        <v>36.7</v>
      </c>
      <c r="H289" s="20">
        <f t="shared" si="7"/>
        <v>0</v>
      </c>
      <c r="I289" s="20">
        <f t="shared" si="7"/>
        <v>0</v>
      </c>
    </row>
    <row r="290" spans="1:9" ht="31.5">
      <c r="A290" s="45" t="s">
        <v>249</v>
      </c>
      <c r="B290" s="42" t="s">
        <v>75</v>
      </c>
      <c r="C290" s="42" t="s">
        <v>253</v>
      </c>
      <c r="D290" s="42"/>
      <c r="E290" s="20">
        <f>E291</f>
        <v>1484.1</v>
      </c>
      <c r="F290" s="20">
        <f>F291</f>
        <v>0</v>
      </c>
      <c r="G290" s="20">
        <f>G291</f>
        <v>1484.1</v>
      </c>
      <c r="H290" s="20">
        <f t="shared" si="7"/>
        <v>0</v>
      </c>
      <c r="I290" s="20">
        <f t="shared" si="7"/>
        <v>0</v>
      </c>
    </row>
    <row r="291" spans="1:9" ht="31.5">
      <c r="A291" s="45" t="s">
        <v>10</v>
      </c>
      <c r="B291" s="42" t="s">
        <v>75</v>
      </c>
      <c r="C291" s="42" t="s">
        <v>253</v>
      </c>
      <c r="D291" s="42" t="s">
        <v>11</v>
      </c>
      <c r="E291" s="20">
        <v>1484.1</v>
      </c>
      <c r="F291" s="121"/>
      <c r="G291" s="20">
        <f>E291+F291</f>
        <v>1484.1</v>
      </c>
      <c r="H291" s="20">
        <v>0</v>
      </c>
      <c r="I291" s="20">
        <v>0</v>
      </c>
    </row>
    <row r="292" spans="1:9" ht="15.75">
      <c r="A292" s="45" t="s">
        <v>196</v>
      </c>
      <c r="B292" s="42" t="s">
        <v>75</v>
      </c>
      <c r="C292" s="42" t="s">
        <v>197</v>
      </c>
      <c r="D292" s="42"/>
      <c r="E292" s="20">
        <f>E293</f>
        <v>18.7</v>
      </c>
      <c r="F292" s="20">
        <f>F293</f>
        <v>0</v>
      </c>
      <c r="G292" s="20">
        <f>G293</f>
        <v>18.7</v>
      </c>
      <c r="H292" s="20">
        <f>H293</f>
        <v>0</v>
      </c>
      <c r="I292" s="20">
        <f>I293</f>
        <v>0</v>
      </c>
    </row>
    <row r="293" spans="1:9" ht="31.5">
      <c r="A293" s="45" t="s">
        <v>10</v>
      </c>
      <c r="B293" s="42" t="s">
        <v>75</v>
      </c>
      <c r="C293" s="42" t="s">
        <v>197</v>
      </c>
      <c r="D293" s="42" t="s">
        <v>11</v>
      </c>
      <c r="E293" s="20">
        <v>18.7</v>
      </c>
      <c r="F293" s="121"/>
      <c r="G293" s="20">
        <f>E293+F293</f>
        <v>18.7</v>
      </c>
      <c r="H293" s="20">
        <v>0</v>
      </c>
      <c r="I293" s="20">
        <v>0</v>
      </c>
    </row>
    <row r="294" spans="1:9" ht="31.5">
      <c r="A294" s="45" t="s">
        <v>249</v>
      </c>
      <c r="B294" s="42" t="s">
        <v>75</v>
      </c>
      <c r="C294" s="42" t="s">
        <v>388</v>
      </c>
      <c r="D294" s="42"/>
      <c r="E294" s="20">
        <f>E295</f>
        <v>819.6</v>
      </c>
      <c r="F294" s="20">
        <f>F295</f>
        <v>0</v>
      </c>
      <c r="G294" s="20">
        <f>G295</f>
        <v>819.6</v>
      </c>
      <c r="H294" s="20">
        <f>H295</f>
        <v>0</v>
      </c>
      <c r="I294" s="20">
        <f>I295</f>
        <v>0</v>
      </c>
    </row>
    <row r="295" spans="1:9" ht="31.5">
      <c r="A295" s="45" t="s">
        <v>10</v>
      </c>
      <c r="B295" s="42" t="s">
        <v>75</v>
      </c>
      <c r="C295" s="42" t="s">
        <v>388</v>
      </c>
      <c r="D295" s="42" t="s">
        <v>11</v>
      </c>
      <c r="E295" s="20">
        <v>819.6</v>
      </c>
      <c r="F295" s="121"/>
      <c r="G295" s="20">
        <f>E295+F295</f>
        <v>819.6</v>
      </c>
      <c r="H295" s="20">
        <v>0</v>
      </c>
      <c r="I295" s="20">
        <v>0</v>
      </c>
    </row>
    <row r="296" spans="1:9" ht="31.5">
      <c r="A296" s="45" t="s">
        <v>255</v>
      </c>
      <c r="B296" s="42" t="s">
        <v>75</v>
      </c>
      <c r="C296" s="42" t="s">
        <v>372</v>
      </c>
      <c r="D296" s="42"/>
      <c r="E296" s="20">
        <f>E297</f>
        <v>441.6</v>
      </c>
      <c r="F296" s="20">
        <f>F297</f>
        <v>0</v>
      </c>
      <c r="G296" s="20">
        <f>G297</f>
        <v>441.6</v>
      </c>
      <c r="H296" s="20">
        <f>H297</f>
        <v>0</v>
      </c>
      <c r="I296" s="20">
        <f>I297</f>
        <v>0</v>
      </c>
    </row>
    <row r="297" spans="1:9" ht="31.5">
      <c r="A297" s="45" t="s">
        <v>10</v>
      </c>
      <c r="B297" s="42" t="s">
        <v>75</v>
      </c>
      <c r="C297" s="42" t="s">
        <v>372</v>
      </c>
      <c r="D297" s="42" t="s">
        <v>11</v>
      </c>
      <c r="E297" s="20">
        <v>441.6</v>
      </c>
      <c r="F297" s="144"/>
      <c r="G297" s="20">
        <f>E297+F297</f>
        <v>441.6</v>
      </c>
      <c r="H297" s="20">
        <v>0</v>
      </c>
      <c r="I297" s="20">
        <v>0</v>
      </c>
    </row>
    <row r="298" spans="1:9" ht="15.75">
      <c r="A298" s="45" t="s">
        <v>196</v>
      </c>
      <c r="B298" s="42" t="s">
        <v>75</v>
      </c>
      <c r="C298" s="42" t="s">
        <v>429</v>
      </c>
      <c r="D298" s="42"/>
      <c r="E298" s="20">
        <f>E299</f>
        <v>386</v>
      </c>
      <c r="F298" s="20">
        <f>F299</f>
        <v>0</v>
      </c>
      <c r="G298" s="20">
        <f>G299</f>
        <v>386</v>
      </c>
      <c r="H298" s="20">
        <f>H299</f>
        <v>0</v>
      </c>
      <c r="I298" s="20">
        <f>I299</f>
        <v>0</v>
      </c>
    </row>
    <row r="299" spans="1:9" ht="31.5">
      <c r="A299" s="45" t="s">
        <v>10</v>
      </c>
      <c r="B299" s="42" t="s">
        <v>75</v>
      </c>
      <c r="C299" s="42" t="s">
        <v>429</v>
      </c>
      <c r="D299" s="42" t="s">
        <v>11</v>
      </c>
      <c r="E299" s="20">
        <v>386</v>
      </c>
      <c r="F299" s="121"/>
      <c r="G299" s="20">
        <f>E299+F299</f>
        <v>386</v>
      </c>
      <c r="H299" s="20">
        <v>0</v>
      </c>
      <c r="I299" s="20">
        <v>0</v>
      </c>
    </row>
    <row r="300" spans="1:9" ht="63">
      <c r="A300" s="45" t="s">
        <v>431</v>
      </c>
      <c r="B300" s="42" t="s">
        <v>75</v>
      </c>
      <c r="C300" s="42" t="s">
        <v>430</v>
      </c>
      <c r="D300" s="42"/>
      <c r="E300" s="20">
        <f>E301</f>
        <v>313</v>
      </c>
      <c r="F300" s="20">
        <f>F301</f>
        <v>0</v>
      </c>
      <c r="G300" s="20">
        <f>G301</f>
        <v>313</v>
      </c>
      <c r="H300" s="20">
        <f>H301</f>
        <v>0</v>
      </c>
      <c r="I300" s="20">
        <f>I301</f>
        <v>0</v>
      </c>
    </row>
    <row r="301" spans="1:9" ht="31.5">
      <c r="A301" s="45" t="s">
        <v>10</v>
      </c>
      <c r="B301" s="42" t="s">
        <v>75</v>
      </c>
      <c r="C301" s="42" t="s">
        <v>430</v>
      </c>
      <c r="D301" s="42" t="s">
        <v>11</v>
      </c>
      <c r="E301" s="20">
        <v>313</v>
      </c>
      <c r="F301" s="121"/>
      <c r="G301" s="20">
        <f>E301+F301</f>
        <v>313</v>
      </c>
      <c r="H301" s="20">
        <v>0</v>
      </c>
      <c r="I301" s="20">
        <v>0</v>
      </c>
    </row>
    <row r="302" spans="1:9" ht="31.5">
      <c r="A302" s="45" t="s">
        <v>51</v>
      </c>
      <c r="B302" s="42" t="s">
        <v>75</v>
      </c>
      <c r="C302" s="42" t="s">
        <v>132</v>
      </c>
      <c r="D302" s="42"/>
      <c r="E302" s="43">
        <f>E303</f>
        <v>36405.6</v>
      </c>
      <c r="F302" s="43">
        <f>F303</f>
        <v>0</v>
      </c>
      <c r="G302" s="43">
        <f>G303</f>
        <v>36405.6</v>
      </c>
      <c r="H302" s="43">
        <f>H303</f>
        <v>34611.3</v>
      </c>
      <c r="I302" s="43">
        <f>I303</f>
        <v>34564.7</v>
      </c>
    </row>
    <row r="303" spans="1:9" ht="31.5">
      <c r="A303" s="45" t="s">
        <v>10</v>
      </c>
      <c r="B303" s="42" t="s">
        <v>75</v>
      </c>
      <c r="C303" s="42" t="s">
        <v>132</v>
      </c>
      <c r="D303" s="42" t="s">
        <v>11</v>
      </c>
      <c r="E303" s="43">
        <v>36405.6</v>
      </c>
      <c r="F303" s="43"/>
      <c r="G303" s="43">
        <f>E303+F303</f>
        <v>36405.6</v>
      </c>
      <c r="H303" s="43">
        <f>46846.3-64.3-360.6-11810.1</f>
        <v>34611.3</v>
      </c>
      <c r="I303" s="43">
        <f>47886-64.3-392.8-12864.2</f>
        <v>34564.7</v>
      </c>
    </row>
    <row r="304" spans="1:9" ht="63">
      <c r="A304" s="45" t="s">
        <v>285</v>
      </c>
      <c r="B304" s="42" t="s">
        <v>75</v>
      </c>
      <c r="C304" s="42" t="s">
        <v>281</v>
      </c>
      <c r="D304" s="42"/>
      <c r="E304" s="43">
        <f>E305</f>
        <v>10795.2</v>
      </c>
      <c r="F304" s="43">
        <f>F305</f>
        <v>0</v>
      </c>
      <c r="G304" s="43">
        <f>G305</f>
        <v>10795.2</v>
      </c>
      <c r="H304" s="43">
        <f>H305</f>
        <v>11810.1</v>
      </c>
      <c r="I304" s="43">
        <f>I305</f>
        <v>12864.2</v>
      </c>
    </row>
    <row r="305" spans="1:9" ht="15.75">
      <c r="A305" s="45" t="s">
        <v>42</v>
      </c>
      <c r="B305" s="42" t="s">
        <v>75</v>
      </c>
      <c r="C305" s="42" t="s">
        <v>281</v>
      </c>
      <c r="D305" s="42" t="s">
        <v>43</v>
      </c>
      <c r="E305" s="43">
        <v>10795.2</v>
      </c>
      <c r="F305" s="42"/>
      <c r="G305" s="43">
        <v>10795.2</v>
      </c>
      <c r="H305" s="43">
        <v>11810.1</v>
      </c>
      <c r="I305" s="43">
        <v>12864.2</v>
      </c>
    </row>
    <row r="306" spans="1:9" ht="63">
      <c r="A306" s="45" t="s">
        <v>267</v>
      </c>
      <c r="B306" s="42" t="s">
        <v>75</v>
      </c>
      <c r="C306" s="42" t="s">
        <v>268</v>
      </c>
      <c r="D306" s="42"/>
      <c r="E306" s="20">
        <f>E307</f>
        <v>32965.5</v>
      </c>
      <c r="F306" s="20">
        <f>F307</f>
        <v>0</v>
      </c>
      <c r="G306" s="20">
        <f>G307</f>
        <v>32965.5</v>
      </c>
      <c r="H306" s="20">
        <f>H307</f>
        <v>36063.299999999996</v>
      </c>
      <c r="I306" s="20">
        <f>I307</f>
        <v>39283.9</v>
      </c>
    </row>
    <row r="307" spans="1:9" ht="31.5">
      <c r="A307" s="45" t="s">
        <v>10</v>
      </c>
      <c r="B307" s="42" t="s">
        <v>75</v>
      </c>
      <c r="C307" s="42" t="s">
        <v>268</v>
      </c>
      <c r="D307" s="42" t="s">
        <v>11</v>
      </c>
      <c r="E307" s="20">
        <f>21840.6+329.7+10795.2</f>
        <v>32965.5</v>
      </c>
      <c r="F307" s="42"/>
      <c r="G307" s="20">
        <f>21840.6+329.7+10795.2</f>
        <v>32965.5</v>
      </c>
      <c r="H307" s="20">
        <f>23892.6+360.6+11810.1</f>
        <v>36063.299999999996</v>
      </c>
      <c r="I307" s="20">
        <f>26026.9+392.8+12864.2</f>
        <v>39283.9</v>
      </c>
    </row>
    <row r="308" spans="1:9" ht="31.5">
      <c r="A308" s="45" t="s">
        <v>261</v>
      </c>
      <c r="B308" s="42" t="s">
        <v>75</v>
      </c>
      <c r="C308" s="42" t="s">
        <v>262</v>
      </c>
      <c r="D308" s="42"/>
      <c r="E308" s="43">
        <f>E309</f>
        <v>128.6</v>
      </c>
      <c r="F308" s="43">
        <f>F309</f>
        <v>0</v>
      </c>
      <c r="G308" s="43">
        <f>G309</f>
        <v>128.6</v>
      </c>
      <c r="H308" s="43">
        <f>H309</f>
        <v>128.6</v>
      </c>
      <c r="I308" s="43">
        <f>I309</f>
        <v>128.6</v>
      </c>
    </row>
    <row r="309" spans="1:9" ht="31.5">
      <c r="A309" s="45" t="s">
        <v>10</v>
      </c>
      <c r="B309" s="42" t="s">
        <v>75</v>
      </c>
      <c r="C309" s="42" t="s">
        <v>262</v>
      </c>
      <c r="D309" s="42" t="s">
        <v>11</v>
      </c>
      <c r="E309" s="43">
        <f>64.3+64.3</f>
        <v>128.6</v>
      </c>
      <c r="F309" s="42"/>
      <c r="G309" s="43">
        <f>64.3+64.3</f>
        <v>128.6</v>
      </c>
      <c r="H309" s="43">
        <f>64.3+64.3</f>
        <v>128.6</v>
      </c>
      <c r="I309" s="43">
        <f>64.3+64.3</f>
        <v>128.6</v>
      </c>
    </row>
    <row r="310" spans="1:9" ht="48.75" customHeight="1">
      <c r="A310" s="45" t="s">
        <v>50</v>
      </c>
      <c r="B310" s="42" t="s">
        <v>75</v>
      </c>
      <c r="C310" s="42" t="s">
        <v>133</v>
      </c>
      <c r="D310" s="42"/>
      <c r="E310" s="43">
        <f>E311</f>
        <v>21282.9</v>
      </c>
      <c r="F310" s="43">
        <f>F311</f>
        <v>0</v>
      </c>
      <c r="G310" s="43">
        <f>G311</f>
        <v>21282.9</v>
      </c>
      <c r="H310" s="43">
        <f>H311</f>
        <v>19733.8</v>
      </c>
      <c r="I310" s="43">
        <f>I311</f>
        <v>20725</v>
      </c>
    </row>
    <row r="311" spans="1:9" ht="31.5">
      <c r="A311" s="45" t="s">
        <v>10</v>
      </c>
      <c r="B311" s="42" t="s">
        <v>75</v>
      </c>
      <c r="C311" s="42" t="s">
        <v>133</v>
      </c>
      <c r="D311" s="42" t="s">
        <v>11</v>
      </c>
      <c r="E311" s="43">
        <v>21282.9</v>
      </c>
      <c r="F311" s="43"/>
      <c r="G311" s="43">
        <f>E311+F311</f>
        <v>21282.9</v>
      </c>
      <c r="H311" s="43">
        <f>19881.2-65-82.4</f>
        <v>19733.8</v>
      </c>
      <c r="I311" s="43">
        <f>20881.2-65-91.2</f>
        <v>20725</v>
      </c>
    </row>
    <row r="312" spans="1:9" ht="47.25">
      <c r="A312" s="45" t="s">
        <v>272</v>
      </c>
      <c r="B312" s="42" t="s">
        <v>75</v>
      </c>
      <c r="C312" s="42" t="s">
        <v>273</v>
      </c>
      <c r="D312" s="42"/>
      <c r="E312" s="43">
        <f>E313</f>
        <v>7477</v>
      </c>
      <c r="F312" s="43">
        <f>F313</f>
        <v>0</v>
      </c>
      <c r="G312" s="43">
        <f>G313</f>
        <v>7477</v>
      </c>
      <c r="H312" s="43">
        <f>H313</f>
        <v>8236.4</v>
      </c>
      <c r="I312" s="43">
        <f>I313</f>
        <v>9116.5</v>
      </c>
    </row>
    <row r="313" spans="1:9" ht="31.5">
      <c r="A313" s="45" t="s">
        <v>10</v>
      </c>
      <c r="B313" s="42" t="s">
        <v>75</v>
      </c>
      <c r="C313" s="42" t="s">
        <v>273</v>
      </c>
      <c r="D313" s="42" t="s">
        <v>11</v>
      </c>
      <c r="E313" s="43">
        <f>7402.2+74.8</f>
        <v>7477</v>
      </c>
      <c r="F313" s="42"/>
      <c r="G313" s="43">
        <f>7402.2+74.8</f>
        <v>7477</v>
      </c>
      <c r="H313" s="43">
        <f>8154+82.4</f>
        <v>8236.4</v>
      </c>
      <c r="I313" s="43">
        <f>9025.3+91.2</f>
        <v>9116.5</v>
      </c>
    </row>
    <row r="314" spans="1:9" ht="31.5">
      <c r="A314" s="45" t="s">
        <v>261</v>
      </c>
      <c r="B314" s="42" t="s">
        <v>75</v>
      </c>
      <c r="C314" s="42" t="s">
        <v>263</v>
      </c>
      <c r="D314" s="42"/>
      <c r="E314" s="43">
        <f>E315</f>
        <v>130</v>
      </c>
      <c r="F314" s="43">
        <f>F315</f>
        <v>0</v>
      </c>
      <c r="G314" s="43">
        <f>G315</f>
        <v>130</v>
      </c>
      <c r="H314" s="43">
        <f>H315</f>
        <v>130</v>
      </c>
      <c r="I314" s="43">
        <f>I315</f>
        <v>130</v>
      </c>
    </row>
    <row r="315" spans="1:9" ht="31.5">
      <c r="A315" s="45" t="s">
        <v>10</v>
      </c>
      <c r="B315" s="42" t="s">
        <v>75</v>
      </c>
      <c r="C315" s="42" t="s">
        <v>263</v>
      </c>
      <c r="D315" s="42" t="s">
        <v>11</v>
      </c>
      <c r="E315" s="43">
        <f>65+65</f>
        <v>130</v>
      </c>
      <c r="F315" s="42"/>
      <c r="G315" s="43">
        <f>65+65</f>
        <v>130</v>
      </c>
      <c r="H315" s="43">
        <f>65+65</f>
        <v>130</v>
      </c>
      <c r="I315" s="43">
        <f>65+65</f>
        <v>130</v>
      </c>
    </row>
    <row r="316" spans="1:9" ht="47.25">
      <c r="A316" s="45" t="s">
        <v>436</v>
      </c>
      <c r="B316" s="42" t="s">
        <v>75</v>
      </c>
      <c r="C316" s="42" t="s">
        <v>435</v>
      </c>
      <c r="D316" s="42"/>
      <c r="E316" s="43">
        <f>E317</f>
        <v>115</v>
      </c>
      <c r="F316" s="43">
        <f>F317</f>
        <v>-115</v>
      </c>
      <c r="G316" s="43">
        <f>G317</f>
        <v>0</v>
      </c>
      <c r="H316" s="43">
        <f>H317</f>
        <v>0</v>
      </c>
      <c r="I316" s="43">
        <f>I317</f>
        <v>0</v>
      </c>
    </row>
    <row r="317" spans="1:9" ht="31.5">
      <c r="A317" s="45" t="s">
        <v>10</v>
      </c>
      <c r="B317" s="42" t="s">
        <v>75</v>
      </c>
      <c r="C317" s="42" t="s">
        <v>435</v>
      </c>
      <c r="D317" s="42" t="s">
        <v>11</v>
      </c>
      <c r="E317" s="43">
        <v>115</v>
      </c>
      <c r="F317" s="43">
        <v>-115</v>
      </c>
      <c r="G317" s="43">
        <f>E317+F317</f>
        <v>0</v>
      </c>
      <c r="H317" s="43">
        <v>0</v>
      </c>
      <c r="I317" s="43">
        <v>0</v>
      </c>
    </row>
    <row r="318" spans="1:9" ht="15.75">
      <c r="A318" s="45" t="s">
        <v>181</v>
      </c>
      <c r="B318" s="42" t="s">
        <v>75</v>
      </c>
      <c r="C318" s="42" t="s">
        <v>182</v>
      </c>
      <c r="D318" s="42"/>
      <c r="E318" s="43">
        <f>E319</f>
        <v>20</v>
      </c>
      <c r="F318" s="43">
        <f>F319</f>
        <v>0</v>
      </c>
      <c r="G318" s="43">
        <f>G319</f>
        <v>20</v>
      </c>
      <c r="H318" s="43">
        <f>H319</f>
        <v>20</v>
      </c>
      <c r="I318" s="43">
        <f>I319</f>
        <v>20</v>
      </c>
    </row>
    <row r="319" spans="1:9" ht="15.75">
      <c r="A319" s="45" t="s">
        <v>27</v>
      </c>
      <c r="B319" s="42" t="s">
        <v>75</v>
      </c>
      <c r="C319" s="42" t="s">
        <v>182</v>
      </c>
      <c r="D319" s="42" t="s">
        <v>16</v>
      </c>
      <c r="E319" s="43">
        <v>20</v>
      </c>
      <c r="F319" s="42"/>
      <c r="G319" s="43">
        <v>20</v>
      </c>
      <c r="H319" s="43">
        <v>20</v>
      </c>
      <c r="I319" s="43">
        <v>20</v>
      </c>
    </row>
    <row r="320" spans="1:9" ht="63">
      <c r="A320" s="45" t="s">
        <v>433</v>
      </c>
      <c r="B320" s="42" t="s">
        <v>75</v>
      </c>
      <c r="C320" s="42" t="s">
        <v>444</v>
      </c>
      <c r="D320" s="42"/>
      <c r="E320" s="43">
        <f>E321</f>
        <v>8379.2</v>
      </c>
      <c r="F320" s="43">
        <f>F321</f>
        <v>511.1</v>
      </c>
      <c r="G320" s="43">
        <f>G321</f>
        <v>8890.300000000001</v>
      </c>
      <c r="H320" s="43">
        <f>H321</f>
        <v>0</v>
      </c>
      <c r="I320" s="43">
        <f>I321</f>
        <v>0</v>
      </c>
    </row>
    <row r="321" spans="1:9" ht="31.5">
      <c r="A321" s="45" t="s">
        <v>10</v>
      </c>
      <c r="B321" s="42" t="s">
        <v>75</v>
      </c>
      <c r="C321" s="42" t="s">
        <v>444</v>
      </c>
      <c r="D321" s="42" t="s">
        <v>11</v>
      </c>
      <c r="E321" s="43">
        <v>8379.2</v>
      </c>
      <c r="F321" s="43">
        <v>511.1</v>
      </c>
      <c r="G321" s="43">
        <f>E321+F321</f>
        <v>8890.300000000001</v>
      </c>
      <c r="H321" s="43">
        <v>0</v>
      </c>
      <c r="I321" s="43">
        <v>0</v>
      </c>
    </row>
    <row r="322" spans="1:9" ht="15.75">
      <c r="A322" s="45" t="s">
        <v>22</v>
      </c>
      <c r="B322" s="42" t="s">
        <v>75</v>
      </c>
      <c r="C322" s="42" t="s">
        <v>134</v>
      </c>
      <c r="D322" s="42"/>
      <c r="E322" s="43">
        <f>E324+E323+E325</f>
        <v>9535.6</v>
      </c>
      <c r="F322" s="43">
        <f>F324+F323+F325</f>
        <v>1879.4</v>
      </c>
      <c r="G322" s="43">
        <f>E322+F322</f>
        <v>11415</v>
      </c>
      <c r="H322" s="43">
        <f>H324+H323+H325</f>
        <v>9535.6</v>
      </c>
      <c r="I322" s="43">
        <f>I324+I323+I325</f>
        <v>9535.6</v>
      </c>
    </row>
    <row r="323" spans="1:9" ht="63">
      <c r="A323" s="45" t="s">
        <v>14</v>
      </c>
      <c r="B323" s="42" t="s">
        <v>75</v>
      </c>
      <c r="C323" s="42" t="s">
        <v>134</v>
      </c>
      <c r="D323" s="42" t="s">
        <v>15</v>
      </c>
      <c r="E323" s="43">
        <v>8439.7</v>
      </c>
      <c r="F323" s="43">
        <v>1879.4</v>
      </c>
      <c r="G323" s="43">
        <f>E323+F323</f>
        <v>10319.1</v>
      </c>
      <c r="H323" s="43">
        <v>8439.7</v>
      </c>
      <c r="I323" s="43">
        <v>8439.7</v>
      </c>
    </row>
    <row r="324" spans="1:9" ht="47.25">
      <c r="A324" s="45" t="s">
        <v>449</v>
      </c>
      <c r="B324" s="42" t="s">
        <v>75</v>
      </c>
      <c r="C324" s="42" t="s">
        <v>134</v>
      </c>
      <c r="D324" s="42" t="s">
        <v>8</v>
      </c>
      <c r="E324" s="43">
        <v>1077.1</v>
      </c>
      <c r="F324" s="42"/>
      <c r="G324" s="43">
        <v>1077.1</v>
      </c>
      <c r="H324" s="43">
        <v>1077.1</v>
      </c>
      <c r="I324" s="43">
        <v>1077.1</v>
      </c>
    </row>
    <row r="325" spans="1:9" ht="15.75">
      <c r="A325" s="45" t="s">
        <v>9</v>
      </c>
      <c r="B325" s="42" t="s">
        <v>75</v>
      </c>
      <c r="C325" s="42" t="s">
        <v>134</v>
      </c>
      <c r="D325" s="42" t="s">
        <v>12</v>
      </c>
      <c r="E325" s="43">
        <v>18.8</v>
      </c>
      <c r="F325" s="42"/>
      <c r="G325" s="43">
        <v>18.8</v>
      </c>
      <c r="H325" s="43">
        <v>18.8</v>
      </c>
      <c r="I325" s="43">
        <v>18.8</v>
      </c>
    </row>
    <row r="326" spans="1:9" ht="31.5">
      <c r="A326" s="45" t="s">
        <v>48</v>
      </c>
      <c r="B326" s="42" t="s">
        <v>75</v>
      </c>
      <c r="C326" s="42" t="s">
        <v>378</v>
      </c>
      <c r="D326" s="42"/>
      <c r="E326" s="43">
        <f>E327+E328+E329</f>
        <v>9803.1</v>
      </c>
      <c r="F326" s="43">
        <f>F327+F328+F329</f>
        <v>66.5</v>
      </c>
      <c r="G326" s="43">
        <f>G327+G328+G329</f>
        <v>9869.6</v>
      </c>
      <c r="H326" s="43">
        <f>H327+H328+H329</f>
        <v>9803.1</v>
      </c>
      <c r="I326" s="43">
        <f>I327+I328+I329</f>
        <v>9803.1</v>
      </c>
    </row>
    <row r="327" spans="1:9" ht="63">
      <c r="A327" s="45" t="s">
        <v>14</v>
      </c>
      <c r="B327" s="42" t="s">
        <v>75</v>
      </c>
      <c r="C327" s="42" t="s">
        <v>378</v>
      </c>
      <c r="D327" s="42" t="s">
        <v>15</v>
      </c>
      <c r="E327" s="37">
        <v>9087.9</v>
      </c>
      <c r="F327" s="148" t="s">
        <v>473</v>
      </c>
      <c r="G327" s="37">
        <f>E327+F327</f>
        <v>9154.4</v>
      </c>
      <c r="H327" s="37">
        <v>9087.9</v>
      </c>
      <c r="I327" s="37">
        <v>9087.9</v>
      </c>
    </row>
    <row r="328" spans="1:9" ht="47.25">
      <c r="A328" s="45" t="s">
        <v>449</v>
      </c>
      <c r="B328" s="42" t="s">
        <v>75</v>
      </c>
      <c r="C328" s="42" t="s">
        <v>378</v>
      </c>
      <c r="D328" s="42" t="s">
        <v>8</v>
      </c>
      <c r="E328" s="37">
        <v>712.7</v>
      </c>
      <c r="F328" s="42"/>
      <c r="G328" s="37">
        <v>712.7</v>
      </c>
      <c r="H328" s="37">
        <v>712.7</v>
      </c>
      <c r="I328" s="37">
        <v>712.7</v>
      </c>
    </row>
    <row r="329" spans="1:9" ht="15.75">
      <c r="A329" s="45" t="s">
        <v>9</v>
      </c>
      <c r="B329" s="42" t="s">
        <v>75</v>
      </c>
      <c r="C329" s="42" t="s">
        <v>378</v>
      </c>
      <c r="D329" s="42" t="s">
        <v>12</v>
      </c>
      <c r="E329" s="37">
        <v>2.5</v>
      </c>
      <c r="F329" s="42"/>
      <c r="G329" s="37">
        <v>2.5</v>
      </c>
      <c r="H329" s="37">
        <v>2.5</v>
      </c>
      <c r="I329" s="37">
        <v>2.5</v>
      </c>
    </row>
    <row r="330" spans="1:9" ht="15.75">
      <c r="A330" s="70" t="s">
        <v>30</v>
      </c>
      <c r="B330" s="72" t="s">
        <v>76</v>
      </c>
      <c r="C330" s="72" t="s">
        <v>96</v>
      </c>
      <c r="D330" s="72"/>
      <c r="E330" s="73">
        <f aca="true" t="shared" si="8" ref="E330:I331">E331</f>
        <v>805.5</v>
      </c>
      <c r="F330" s="73">
        <f t="shared" si="8"/>
        <v>0</v>
      </c>
      <c r="G330" s="73">
        <f t="shared" si="8"/>
        <v>805.5</v>
      </c>
      <c r="H330" s="73">
        <f t="shared" si="8"/>
        <v>805.5</v>
      </c>
      <c r="I330" s="73">
        <f t="shared" si="8"/>
        <v>805.5</v>
      </c>
    </row>
    <row r="331" spans="1:9" ht="63">
      <c r="A331" s="45" t="s">
        <v>190</v>
      </c>
      <c r="B331" s="42" t="s">
        <v>75</v>
      </c>
      <c r="C331" s="42" t="s">
        <v>189</v>
      </c>
      <c r="D331" s="42"/>
      <c r="E331" s="43">
        <f t="shared" si="8"/>
        <v>805.5</v>
      </c>
      <c r="F331" s="43">
        <f t="shared" si="8"/>
        <v>0</v>
      </c>
      <c r="G331" s="43">
        <f t="shared" si="8"/>
        <v>805.5</v>
      </c>
      <c r="H331" s="43">
        <f t="shared" si="8"/>
        <v>805.5</v>
      </c>
      <c r="I331" s="43">
        <f t="shared" si="8"/>
        <v>805.5</v>
      </c>
    </row>
    <row r="332" spans="1:9" ht="31.5">
      <c r="A332" s="45" t="s">
        <v>10</v>
      </c>
      <c r="B332" s="42" t="s">
        <v>75</v>
      </c>
      <c r="C332" s="42" t="s">
        <v>189</v>
      </c>
      <c r="D332" s="42" t="s">
        <v>11</v>
      </c>
      <c r="E332" s="43">
        <v>805.5</v>
      </c>
      <c r="F332" s="42"/>
      <c r="G332" s="43">
        <v>805.5</v>
      </c>
      <c r="H332" s="43">
        <v>805.5</v>
      </c>
      <c r="I332" s="43">
        <v>805.5</v>
      </c>
    </row>
    <row r="333" spans="1:9" ht="31.5">
      <c r="A333" s="170" t="s">
        <v>77</v>
      </c>
      <c r="B333" s="33" t="s">
        <v>78</v>
      </c>
      <c r="C333" s="75"/>
      <c r="D333" s="79"/>
      <c r="E333" s="31">
        <f>E334+E356+E370</f>
        <v>66173.29999999999</v>
      </c>
      <c r="F333" s="31">
        <f>F334+F356+F370</f>
        <v>377.4</v>
      </c>
      <c r="G333" s="31">
        <f>G334+G356+G370</f>
        <v>66550.7</v>
      </c>
      <c r="H333" s="31">
        <f>H334+H356</f>
        <v>30301.000000000004</v>
      </c>
      <c r="I333" s="31">
        <f>I334+I356</f>
        <v>29124.2</v>
      </c>
    </row>
    <row r="334" spans="1:9" ht="31.5">
      <c r="A334" s="160" t="s">
        <v>297</v>
      </c>
      <c r="B334" s="72" t="s">
        <v>78</v>
      </c>
      <c r="C334" s="71" t="s">
        <v>173</v>
      </c>
      <c r="D334" s="71" t="s">
        <v>0</v>
      </c>
      <c r="E334" s="77">
        <f>E335</f>
        <v>36096.5</v>
      </c>
      <c r="F334" s="77">
        <f>F335</f>
        <v>0</v>
      </c>
      <c r="G334" s="77">
        <f>G335</f>
        <v>36096.5</v>
      </c>
      <c r="H334" s="77">
        <f>H335</f>
        <v>3608.8</v>
      </c>
      <c r="I334" s="77">
        <f>I335</f>
        <v>1661.2</v>
      </c>
    </row>
    <row r="335" spans="1:9" ht="31.5">
      <c r="A335" s="161" t="s">
        <v>450</v>
      </c>
      <c r="B335" s="78" t="s">
        <v>78</v>
      </c>
      <c r="C335" s="11" t="s">
        <v>175</v>
      </c>
      <c r="D335" s="11" t="s">
        <v>0</v>
      </c>
      <c r="E335" s="113">
        <f>E348+E352+E354+E336+E344+E340+E342+E350+E346+E338</f>
        <v>36096.5</v>
      </c>
      <c r="F335" s="113">
        <f>F348+F352+F354+F336+F344+F340+F342+F350+F346+F338</f>
        <v>0</v>
      </c>
      <c r="G335" s="113">
        <f>G348+G352+G354+G336+G344+G340+G342+G350+G346+G338</f>
        <v>36096.5</v>
      </c>
      <c r="H335" s="113">
        <f>H348+H352+H354+H336+H344+H340+H342+H350+H346+H338</f>
        <v>3608.8</v>
      </c>
      <c r="I335" s="113">
        <f>I348+I352+I354+I336+I344+I340+I342+I350+I346+I338</f>
        <v>1661.2</v>
      </c>
    </row>
    <row r="336" spans="1:9" ht="31.5">
      <c r="A336" s="45" t="s">
        <v>276</v>
      </c>
      <c r="B336" s="27" t="s">
        <v>78</v>
      </c>
      <c r="C336" s="35" t="s">
        <v>397</v>
      </c>
      <c r="D336" s="35"/>
      <c r="E336" s="127">
        <f>E337</f>
        <v>67.8</v>
      </c>
      <c r="F336" s="132">
        <f>F337</f>
        <v>0</v>
      </c>
      <c r="G336" s="127">
        <f>G337</f>
        <v>67.8</v>
      </c>
      <c r="H336" s="127">
        <f>H337</f>
        <v>0</v>
      </c>
      <c r="I336" s="127">
        <f>I337</f>
        <v>0</v>
      </c>
    </row>
    <row r="337" spans="1:9" ht="47.25">
      <c r="A337" s="45" t="s">
        <v>449</v>
      </c>
      <c r="B337" s="27" t="s">
        <v>78</v>
      </c>
      <c r="C337" s="35" t="s">
        <v>397</v>
      </c>
      <c r="D337" s="35" t="s">
        <v>8</v>
      </c>
      <c r="E337" s="127">
        <v>67.8</v>
      </c>
      <c r="F337" s="132"/>
      <c r="G337" s="127">
        <f>E337+F337</f>
        <v>67.8</v>
      </c>
      <c r="H337" s="127">
        <v>0</v>
      </c>
      <c r="I337" s="127">
        <v>0</v>
      </c>
    </row>
    <row r="338" spans="1:9" ht="94.5">
      <c r="A338" s="45" t="s">
        <v>459</v>
      </c>
      <c r="B338" s="27" t="s">
        <v>78</v>
      </c>
      <c r="C338" s="35" t="s">
        <v>458</v>
      </c>
      <c r="D338" s="35"/>
      <c r="E338" s="127">
        <f>E339</f>
        <v>10360.8</v>
      </c>
      <c r="F338" s="127">
        <f>F339</f>
        <v>0</v>
      </c>
      <c r="G338" s="127">
        <f>G339</f>
        <v>10360.8</v>
      </c>
      <c r="H338" s="127">
        <f>H339</f>
        <v>0</v>
      </c>
      <c r="I338" s="127">
        <f>I339</f>
        <v>0</v>
      </c>
    </row>
    <row r="339" spans="1:9" ht="15.75">
      <c r="A339" s="45" t="s">
        <v>9</v>
      </c>
      <c r="B339" s="27" t="s">
        <v>78</v>
      </c>
      <c r="C339" s="35" t="s">
        <v>458</v>
      </c>
      <c r="D339" s="35" t="s">
        <v>12</v>
      </c>
      <c r="E339" s="127">
        <v>10360.8</v>
      </c>
      <c r="F339" s="132">
        <v>0</v>
      </c>
      <c r="G339" s="127">
        <f>E339+F339</f>
        <v>10360.8</v>
      </c>
      <c r="H339" s="127">
        <v>0</v>
      </c>
      <c r="I339" s="127">
        <v>0</v>
      </c>
    </row>
    <row r="340" spans="1:9" ht="110.25">
      <c r="A340" s="45" t="s">
        <v>424</v>
      </c>
      <c r="B340" s="42" t="s">
        <v>78</v>
      </c>
      <c r="C340" s="42" t="s">
        <v>425</v>
      </c>
      <c r="D340" s="35"/>
      <c r="E340" s="127">
        <f>E341</f>
        <v>1241.8</v>
      </c>
      <c r="F340" s="127">
        <f>F341</f>
        <v>0</v>
      </c>
      <c r="G340" s="127">
        <f>G341</f>
        <v>1241.8</v>
      </c>
      <c r="H340" s="127">
        <f>H341</f>
        <v>0</v>
      </c>
      <c r="I340" s="127">
        <f>I341</f>
        <v>0</v>
      </c>
    </row>
    <row r="341" spans="1:9" ht="15.75">
      <c r="A341" s="45" t="s">
        <v>9</v>
      </c>
      <c r="B341" s="42" t="s">
        <v>78</v>
      </c>
      <c r="C341" s="42" t="s">
        <v>425</v>
      </c>
      <c r="D341" s="42" t="s">
        <v>12</v>
      </c>
      <c r="E341" s="127">
        <v>1241.8</v>
      </c>
      <c r="F341" s="127"/>
      <c r="G341" s="127">
        <f>E341+F341</f>
        <v>1241.8</v>
      </c>
      <c r="H341" s="127">
        <v>0</v>
      </c>
      <c r="I341" s="127">
        <v>0</v>
      </c>
    </row>
    <row r="342" spans="1:9" ht="94.5">
      <c r="A342" s="45" t="s">
        <v>426</v>
      </c>
      <c r="B342" s="42" t="s">
        <v>78</v>
      </c>
      <c r="C342" s="42" t="s">
        <v>455</v>
      </c>
      <c r="D342" s="42"/>
      <c r="E342" s="127">
        <f>E343</f>
        <v>542</v>
      </c>
      <c r="F342" s="127">
        <f>F343</f>
        <v>0</v>
      </c>
      <c r="G342" s="127">
        <f>G343</f>
        <v>542</v>
      </c>
      <c r="H342" s="127">
        <f>H343</f>
        <v>0</v>
      </c>
      <c r="I342" s="127">
        <f>I343</f>
        <v>0</v>
      </c>
    </row>
    <row r="343" spans="1:9" ht="15.75">
      <c r="A343" s="45" t="s">
        <v>9</v>
      </c>
      <c r="B343" s="42" t="s">
        <v>78</v>
      </c>
      <c r="C343" s="42" t="s">
        <v>455</v>
      </c>
      <c r="D343" s="42" t="s">
        <v>12</v>
      </c>
      <c r="E343" s="127">
        <v>542</v>
      </c>
      <c r="F343" s="127"/>
      <c r="G343" s="127">
        <f>E343+F343</f>
        <v>542</v>
      </c>
      <c r="H343" s="127">
        <v>0</v>
      </c>
      <c r="I343" s="127">
        <v>0</v>
      </c>
    </row>
    <row r="344" spans="1:9" ht="94.5">
      <c r="A344" s="45" t="s">
        <v>412</v>
      </c>
      <c r="B344" s="42" t="s">
        <v>78</v>
      </c>
      <c r="C344" s="21" t="s">
        <v>423</v>
      </c>
      <c r="D344" s="21"/>
      <c r="E344" s="127">
        <f>E345</f>
        <v>521.6</v>
      </c>
      <c r="F344" s="127">
        <f>F345</f>
        <v>0</v>
      </c>
      <c r="G344" s="127">
        <f>G345</f>
        <v>521.6</v>
      </c>
      <c r="H344" s="127">
        <f>H345</f>
        <v>0</v>
      </c>
      <c r="I344" s="127">
        <f>I345</f>
        <v>0</v>
      </c>
    </row>
    <row r="345" spans="1:9" ht="15.75">
      <c r="A345" s="45" t="s">
        <v>9</v>
      </c>
      <c r="B345" s="42" t="s">
        <v>78</v>
      </c>
      <c r="C345" s="21" t="s">
        <v>423</v>
      </c>
      <c r="D345" s="21" t="s">
        <v>12</v>
      </c>
      <c r="E345" s="127">
        <v>521.6</v>
      </c>
      <c r="F345" s="127"/>
      <c r="G345" s="127">
        <f>E345+F345</f>
        <v>521.6</v>
      </c>
      <c r="H345" s="127">
        <v>0</v>
      </c>
      <c r="I345" s="127">
        <v>0</v>
      </c>
    </row>
    <row r="346" spans="1:9" ht="47.25">
      <c r="A346" s="167" t="s">
        <v>457</v>
      </c>
      <c r="B346" s="42" t="s">
        <v>78</v>
      </c>
      <c r="C346" s="21" t="s">
        <v>456</v>
      </c>
      <c r="D346" s="21"/>
      <c r="E346" s="127">
        <f>E347</f>
        <v>56</v>
      </c>
      <c r="F346" s="127">
        <f>F347</f>
        <v>0</v>
      </c>
      <c r="G346" s="127">
        <f>G347</f>
        <v>56</v>
      </c>
      <c r="H346" s="127">
        <f>H347</f>
        <v>0</v>
      </c>
      <c r="I346" s="127">
        <f>I347</f>
        <v>0</v>
      </c>
    </row>
    <row r="347" spans="1:9" ht="47.25">
      <c r="A347" s="45" t="s">
        <v>449</v>
      </c>
      <c r="B347" s="42" t="s">
        <v>78</v>
      </c>
      <c r="C347" s="21" t="s">
        <v>456</v>
      </c>
      <c r="D347" s="21" t="s">
        <v>8</v>
      </c>
      <c r="E347" s="127">
        <v>56</v>
      </c>
      <c r="F347" s="127">
        <v>0</v>
      </c>
      <c r="G347" s="127">
        <f>E347+F347</f>
        <v>56</v>
      </c>
      <c r="H347" s="127">
        <v>0</v>
      </c>
      <c r="I347" s="127">
        <v>0</v>
      </c>
    </row>
    <row r="348" spans="1:9" ht="74.25" customHeight="1">
      <c r="A348" s="45" t="s">
        <v>335</v>
      </c>
      <c r="B348" s="42" t="s">
        <v>78</v>
      </c>
      <c r="C348" s="21" t="s">
        <v>374</v>
      </c>
      <c r="D348" s="21"/>
      <c r="E348" s="43">
        <f>E349</f>
        <v>15224.4</v>
      </c>
      <c r="F348" s="133">
        <f>F349</f>
        <v>0</v>
      </c>
      <c r="G348" s="43">
        <f>G349</f>
        <v>15224.4</v>
      </c>
      <c r="H348" s="43">
        <f>H349</f>
        <v>0</v>
      </c>
      <c r="I348" s="43">
        <f>I349</f>
        <v>0</v>
      </c>
    </row>
    <row r="349" spans="1:9" ht="15.75">
      <c r="A349" s="45" t="s">
        <v>9</v>
      </c>
      <c r="B349" s="42" t="s">
        <v>78</v>
      </c>
      <c r="C349" s="21" t="s">
        <v>374</v>
      </c>
      <c r="D349" s="21" t="s">
        <v>12</v>
      </c>
      <c r="E349" s="43">
        <v>15224.4</v>
      </c>
      <c r="F349" s="166">
        <v>0</v>
      </c>
      <c r="G349" s="127">
        <f>E349+F349</f>
        <v>15224.4</v>
      </c>
      <c r="H349" s="20">
        <v>0</v>
      </c>
      <c r="I349" s="20">
        <v>0</v>
      </c>
    </row>
    <row r="350" spans="1:9" ht="31.5">
      <c r="A350" s="45" t="s">
        <v>276</v>
      </c>
      <c r="B350" s="27" t="s">
        <v>78</v>
      </c>
      <c r="C350" s="35" t="s">
        <v>427</v>
      </c>
      <c r="D350" s="21"/>
      <c r="E350" s="43">
        <f>E351</f>
        <v>7678</v>
      </c>
      <c r="F350" s="43">
        <f>F351</f>
        <v>0</v>
      </c>
      <c r="G350" s="43">
        <f>G351</f>
        <v>7678</v>
      </c>
      <c r="H350" s="43">
        <f>H351</f>
        <v>0</v>
      </c>
      <c r="I350" s="43">
        <f>I351</f>
        <v>0</v>
      </c>
    </row>
    <row r="351" spans="1:9" ht="15.75">
      <c r="A351" s="45" t="s">
        <v>9</v>
      </c>
      <c r="B351" s="27" t="s">
        <v>78</v>
      </c>
      <c r="C351" s="35" t="s">
        <v>427</v>
      </c>
      <c r="D351" s="35" t="s">
        <v>12</v>
      </c>
      <c r="E351" s="43">
        <v>7678</v>
      </c>
      <c r="F351" s="137"/>
      <c r="G351" s="127">
        <f>E351+F351</f>
        <v>7678</v>
      </c>
      <c r="H351" s="20">
        <v>0</v>
      </c>
      <c r="I351" s="20">
        <v>0</v>
      </c>
    </row>
    <row r="352" spans="1:9" ht="44.25" customHeight="1">
      <c r="A352" s="45" t="s">
        <v>276</v>
      </c>
      <c r="B352" s="27" t="s">
        <v>78</v>
      </c>
      <c r="C352" s="35" t="s">
        <v>282</v>
      </c>
      <c r="D352" s="35"/>
      <c r="E352" s="36">
        <f>E353</f>
        <v>323.3</v>
      </c>
      <c r="F352" s="36">
        <f>F353</f>
        <v>0</v>
      </c>
      <c r="G352" s="36">
        <f>G353</f>
        <v>323.3</v>
      </c>
      <c r="H352" s="36">
        <f>H353</f>
        <v>2596.7000000000003</v>
      </c>
      <c r="I352" s="36">
        <f>I353</f>
        <v>1661.2</v>
      </c>
    </row>
    <row r="353" spans="1:9" ht="15.75">
      <c r="A353" s="45" t="s">
        <v>9</v>
      </c>
      <c r="B353" s="27" t="s">
        <v>78</v>
      </c>
      <c r="C353" s="35" t="s">
        <v>282</v>
      </c>
      <c r="D353" s="35" t="s">
        <v>12</v>
      </c>
      <c r="E353" s="36">
        <v>323.3</v>
      </c>
      <c r="F353" s="127"/>
      <c r="G353" s="36">
        <f>E353+F353</f>
        <v>323.3</v>
      </c>
      <c r="H353" s="36">
        <f>4048.3-1451.6</f>
        <v>2596.7000000000003</v>
      </c>
      <c r="I353" s="36">
        <v>1661.2</v>
      </c>
    </row>
    <row r="354" spans="1:9" ht="44.25" customHeight="1">
      <c r="A354" s="45" t="s">
        <v>276</v>
      </c>
      <c r="B354" s="27" t="s">
        <v>78</v>
      </c>
      <c r="C354" s="35" t="s">
        <v>283</v>
      </c>
      <c r="D354" s="35"/>
      <c r="E354" s="36">
        <f>E355</f>
        <v>80.8</v>
      </c>
      <c r="F354" s="36">
        <f>F355</f>
        <v>0</v>
      </c>
      <c r="G354" s="36">
        <f>G355</f>
        <v>80.8</v>
      </c>
      <c r="H354" s="36">
        <f>H355</f>
        <v>1012.1</v>
      </c>
      <c r="I354" s="36">
        <f>I355</f>
        <v>0</v>
      </c>
    </row>
    <row r="355" spans="1:9" ht="15.75">
      <c r="A355" s="45" t="s">
        <v>9</v>
      </c>
      <c r="B355" s="27" t="s">
        <v>78</v>
      </c>
      <c r="C355" s="35" t="s">
        <v>283</v>
      </c>
      <c r="D355" s="35" t="s">
        <v>12</v>
      </c>
      <c r="E355" s="36">
        <v>80.8</v>
      </c>
      <c r="F355" s="132"/>
      <c r="G355" s="36">
        <f>E355+F355</f>
        <v>80.8</v>
      </c>
      <c r="H355" s="36">
        <v>1012.1</v>
      </c>
      <c r="I355" s="36">
        <v>0</v>
      </c>
    </row>
    <row r="356" spans="1:9" ht="31.5">
      <c r="A356" s="160" t="s">
        <v>306</v>
      </c>
      <c r="B356" s="72" t="s">
        <v>78</v>
      </c>
      <c r="C356" s="71" t="s">
        <v>147</v>
      </c>
      <c r="D356" s="71" t="s">
        <v>0</v>
      </c>
      <c r="E356" s="77">
        <f>E357</f>
        <v>29815.9</v>
      </c>
      <c r="F356" s="77">
        <f>F357</f>
        <v>377.5</v>
      </c>
      <c r="G356" s="77">
        <f>G357</f>
        <v>30193.4</v>
      </c>
      <c r="H356" s="77">
        <f>H357</f>
        <v>26692.200000000004</v>
      </c>
      <c r="I356" s="77">
        <f>I357</f>
        <v>27463</v>
      </c>
    </row>
    <row r="357" spans="1:9" ht="15.75">
      <c r="A357" s="161" t="s">
        <v>308</v>
      </c>
      <c r="B357" s="78" t="s">
        <v>78</v>
      </c>
      <c r="C357" s="11" t="s">
        <v>150</v>
      </c>
      <c r="D357" s="11" t="s">
        <v>0</v>
      </c>
      <c r="E357" s="12">
        <f>E358+E360+E362+E366</f>
        <v>29815.9</v>
      </c>
      <c r="F357" s="12">
        <f>F358+F360+F362+F366</f>
        <v>377.5</v>
      </c>
      <c r="G357" s="12">
        <f>G358+G360+G362+G366</f>
        <v>30193.4</v>
      </c>
      <c r="H357" s="12">
        <f>H358+H360+H362+H366</f>
        <v>26692.200000000004</v>
      </c>
      <c r="I357" s="12">
        <f>I358+I360+I362+I366</f>
        <v>27463</v>
      </c>
    </row>
    <row r="358" spans="1:9" ht="47.25">
      <c r="A358" s="45" t="s">
        <v>55</v>
      </c>
      <c r="B358" s="42" t="s">
        <v>78</v>
      </c>
      <c r="C358" s="42" t="s">
        <v>151</v>
      </c>
      <c r="D358" s="21"/>
      <c r="E358" s="20">
        <f>E359</f>
        <v>2152.6</v>
      </c>
      <c r="F358" s="20">
        <f>F359</f>
        <v>0</v>
      </c>
      <c r="G358" s="20">
        <f>G359</f>
        <v>2152.6</v>
      </c>
      <c r="H358" s="20">
        <f>H359</f>
        <v>1200</v>
      </c>
      <c r="I358" s="20">
        <f>I359</f>
        <v>1200</v>
      </c>
    </row>
    <row r="359" spans="1:9" ht="47.25">
      <c r="A359" s="45" t="s">
        <v>449</v>
      </c>
      <c r="B359" s="42" t="s">
        <v>78</v>
      </c>
      <c r="C359" s="42" t="s">
        <v>151</v>
      </c>
      <c r="D359" s="42" t="s">
        <v>8</v>
      </c>
      <c r="E359" s="20">
        <v>2152.6</v>
      </c>
      <c r="F359" s="121"/>
      <c r="G359" s="20">
        <f>E359+F359</f>
        <v>2152.6</v>
      </c>
      <c r="H359" s="20">
        <v>1200</v>
      </c>
      <c r="I359" s="20">
        <v>1200</v>
      </c>
    </row>
    <row r="360" spans="1:9" ht="19.5" customHeight="1">
      <c r="A360" s="45" t="s">
        <v>17</v>
      </c>
      <c r="B360" s="42" t="s">
        <v>78</v>
      </c>
      <c r="C360" s="42" t="s">
        <v>152</v>
      </c>
      <c r="D360" s="21"/>
      <c r="E360" s="20">
        <f>E361</f>
        <v>250</v>
      </c>
      <c r="F360" s="151">
        <f>F361</f>
        <v>0</v>
      </c>
      <c r="G360" s="20">
        <f>G361</f>
        <v>250</v>
      </c>
      <c r="H360" s="20">
        <f>H361</f>
        <v>150</v>
      </c>
      <c r="I360" s="20">
        <f>I361</f>
        <v>150</v>
      </c>
    </row>
    <row r="361" spans="1:9" ht="47.25">
      <c r="A361" s="45" t="s">
        <v>449</v>
      </c>
      <c r="B361" s="42" t="s">
        <v>78</v>
      </c>
      <c r="C361" s="42" t="s">
        <v>152</v>
      </c>
      <c r="D361" s="42" t="s">
        <v>8</v>
      </c>
      <c r="E361" s="20">
        <v>250</v>
      </c>
      <c r="F361" s="140"/>
      <c r="G361" s="20">
        <f>E361+F361</f>
        <v>250</v>
      </c>
      <c r="H361" s="20">
        <v>150</v>
      </c>
      <c r="I361" s="20">
        <v>150</v>
      </c>
    </row>
    <row r="362" spans="1:9" ht="31.5">
      <c r="A362" s="45" t="s">
        <v>13</v>
      </c>
      <c r="B362" s="42" t="s">
        <v>78</v>
      </c>
      <c r="C362" s="42" t="s">
        <v>153</v>
      </c>
      <c r="D362" s="21"/>
      <c r="E362" s="20">
        <f>SUM(E363:E365)</f>
        <v>19852.100000000002</v>
      </c>
      <c r="F362" s="20">
        <f>SUM(F363:F365)</f>
        <v>2698.5</v>
      </c>
      <c r="G362" s="20">
        <f>E362+F362</f>
        <v>22550.600000000002</v>
      </c>
      <c r="H362" s="20">
        <f>SUM(H363:H365)</f>
        <v>19329.100000000002</v>
      </c>
      <c r="I362" s="20">
        <f>SUM(I363:I365)</f>
        <v>19329.100000000002</v>
      </c>
    </row>
    <row r="363" spans="1:9" ht="63">
      <c r="A363" s="45" t="s">
        <v>14</v>
      </c>
      <c r="B363" s="42" t="s">
        <v>78</v>
      </c>
      <c r="C363" s="42" t="s">
        <v>153</v>
      </c>
      <c r="D363" s="42" t="s">
        <v>15</v>
      </c>
      <c r="E363" s="20">
        <f>17873.7+10</f>
        <v>17883.7</v>
      </c>
      <c r="F363" s="20">
        <v>2448.5</v>
      </c>
      <c r="G363" s="20">
        <f>E363+F363</f>
        <v>20332.2</v>
      </c>
      <c r="H363" s="20">
        <f>17673.7+10</f>
        <v>17683.7</v>
      </c>
      <c r="I363" s="20">
        <f>17673.7+10</f>
        <v>17683.7</v>
      </c>
    </row>
    <row r="364" spans="1:9" ht="47.25">
      <c r="A364" s="45" t="s">
        <v>449</v>
      </c>
      <c r="B364" s="42" t="s">
        <v>78</v>
      </c>
      <c r="C364" s="42" t="s">
        <v>153</v>
      </c>
      <c r="D364" s="42" t="s">
        <v>8</v>
      </c>
      <c r="E364" s="20">
        <f>1963.4-10</f>
        <v>1953.4</v>
      </c>
      <c r="F364" s="20">
        <v>250</v>
      </c>
      <c r="G364" s="20">
        <f>E364+F364</f>
        <v>2203.4</v>
      </c>
      <c r="H364" s="20">
        <f>1640.4-10</f>
        <v>1630.4</v>
      </c>
      <c r="I364" s="20">
        <f>1640.4-10</f>
        <v>1630.4</v>
      </c>
    </row>
    <row r="365" spans="1:9" ht="15.75">
      <c r="A365" s="45" t="s">
        <v>9</v>
      </c>
      <c r="B365" s="42" t="s">
        <v>78</v>
      </c>
      <c r="C365" s="42" t="s">
        <v>153</v>
      </c>
      <c r="D365" s="42" t="s">
        <v>12</v>
      </c>
      <c r="E365" s="20">
        <v>15</v>
      </c>
      <c r="F365" s="126"/>
      <c r="G365" s="20">
        <v>15</v>
      </c>
      <c r="H365" s="20">
        <v>15</v>
      </c>
      <c r="I365" s="20">
        <v>15</v>
      </c>
    </row>
    <row r="366" spans="1:9" ht="31.5">
      <c r="A366" s="45" t="s">
        <v>18</v>
      </c>
      <c r="B366" s="42" t="s">
        <v>78</v>
      </c>
      <c r="C366" s="42" t="s">
        <v>154</v>
      </c>
      <c r="D366" s="21"/>
      <c r="E366" s="20">
        <f>E367+E368+E369</f>
        <v>7561.2</v>
      </c>
      <c r="F366" s="20">
        <f>F367+F368+F369</f>
        <v>-2321</v>
      </c>
      <c r="G366" s="20">
        <f>G368+G369+G367</f>
        <v>5240.200000000001</v>
      </c>
      <c r="H366" s="20">
        <f>H368+H369+H367</f>
        <v>6013.1</v>
      </c>
      <c r="I366" s="20">
        <f>I368+I369+I367</f>
        <v>6783.9</v>
      </c>
    </row>
    <row r="367" spans="1:9" ht="63">
      <c r="A367" s="45" t="s">
        <v>14</v>
      </c>
      <c r="B367" s="42" t="s">
        <v>78</v>
      </c>
      <c r="C367" s="42" t="s">
        <v>154</v>
      </c>
      <c r="D367" s="21" t="s">
        <v>15</v>
      </c>
      <c r="E367" s="20">
        <v>3243.9</v>
      </c>
      <c r="F367" s="137">
        <v>-1227</v>
      </c>
      <c r="G367" s="20">
        <f>E367+F367</f>
        <v>2016.9</v>
      </c>
      <c r="H367" s="20">
        <v>3243.9</v>
      </c>
      <c r="I367" s="20">
        <v>3243.9</v>
      </c>
    </row>
    <row r="368" spans="1:9" ht="47.25">
      <c r="A368" s="45" t="s">
        <v>449</v>
      </c>
      <c r="B368" s="42" t="s">
        <v>78</v>
      </c>
      <c r="C368" s="42" t="s">
        <v>154</v>
      </c>
      <c r="D368" s="42" t="s">
        <v>8</v>
      </c>
      <c r="E368" s="20">
        <v>3650.6</v>
      </c>
      <c r="F368" s="121">
        <f>-794</f>
        <v>-794</v>
      </c>
      <c r="G368" s="20">
        <f>E368+F368</f>
        <v>2856.6</v>
      </c>
      <c r="H368" s="20">
        <v>2069.2</v>
      </c>
      <c r="I368" s="20">
        <f>2839.9+0.1</f>
        <v>2840</v>
      </c>
    </row>
    <row r="369" spans="1:9" ht="15.75">
      <c r="A369" s="45" t="s">
        <v>9</v>
      </c>
      <c r="B369" s="42" t="s">
        <v>78</v>
      </c>
      <c r="C369" s="42" t="s">
        <v>154</v>
      </c>
      <c r="D369" s="42" t="s">
        <v>12</v>
      </c>
      <c r="E369" s="20">
        <v>666.7</v>
      </c>
      <c r="F369" s="121">
        <v>-300</v>
      </c>
      <c r="G369" s="20">
        <f>E369+F369</f>
        <v>366.70000000000005</v>
      </c>
      <c r="H369" s="20">
        <v>700</v>
      </c>
      <c r="I369" s="20">
        <v>700</v>
      </c>
    </row>
    <row r="370" spans="1:9" ht="15.75">
      <c r="A370" s="70" t="s">
        <v>30</v>
      </c>
      <c r="B370" s="72" t="s">
        <v>78</v>
      </c>
      <c r="C370" s="72" t="s">
        <v>96</v>
      </c>
      <c r="D370" s="123"/>
      <c r="E370" s="142">
        <f>E371</f>
        <v>260.9</v>
      </c>
      <c r="F370" s="143">
        <f>F371</f>
        <v>-0.1</v>
      </c>
      <c r="G370" s="142">
        <f>G371</f>
        <v>260.8</v>
      </c>
      <c r="H370" s="142">
        <f>H371</f>
        <v>0</v>
      </c>
      <c r="I370" s="142">
        <f>I371</f>
        <v>0</v>
      </c>
    </row>
    <row r="371" spans="1:9" ht="31.5">
      <c r="A371" s="45" t="s">
        <v>60</v>
      </c>
      <c r="B371" s="42" t="s">
        <v>78</v>
      </c>
      <c r="C371" s="42" t="s">
        <v>392</v>
      </c>
      <c r="D371" s="124"/>
      <c r="E371" s="135">
        <f>E373+E372</f>
        <v>260.9</v>
      </c>
      <c r="F371" s="135">
        <f>F373+F372</f>
        <v>-0.1</v>
      </c>
      <c r="G371" s="135">
        <f>G373+G372</f>
        <v>260.8</v>
      </c>
      <c r="H371" s="135">
        <f>H373+H372</f>
        <v>0</v>
      </c>
      <c r="I371" s="135">
        <f>I373+I372</f>
        <v>0</v>
      </c>
    </row>
    <row r="372" spans="1:9" ht="47.25">
      <c r="A372" s="45" t="s">
        <v>449</v>
      </c>
      <c r="B372" s="42" t="s">
        <v>78</v>
      </c>
      <c r="C372" s="42" t="s">
        <v>392</v>
      </c>
      <c r="D372" s="42">
        <v>200</v>
      </c>
      <c r="E372" s="135">
        <v>181.5</v>
      </c>
      <c r="F372" s="135">
        <v>-0.1</v>
      </c>
      <c r="G372" s="135">
        <f>E372+F372</f>
        <v>181.4</v>
      </c>
      <c r="H372" s="135">
        <v>0</v>
      </c>
      <c r="I372" s="135">
        <v>0</v>
      </c>
    </row>
    <row r="373" spans="1:9" ht="15.75">
      <c r="A373" s="45" t="s">
        <v>9</v>
      </c>
      <c r="B373" s="42" t="s">
        <v>78</v>
      </c>
      <c r="C373" s="42" t="s">
        <v>392</v>
      </c>
      <c r="D373" s="122" t="s">
        <v>12</v>
      </c>
      <c r="E373" s="135">
        <v>79.4</v>
      </c>
      <c r="F373" s="136"/>
      <c r="G373" s="135">
        <f>E373+F373</f>
        <v>79.4</v>
      </c>
      <c r="H373" s="135">
        <v>0</v>
      </c>
      <c r="I373" s="135">
        <v>0</v>
      </c>
    </row>
    <row r="374" spans="1:9" ht="31.5">
      <c r="A374" s="170" t="s">
        <v>79</v>
      </c>
      <c r="B374" s="33" t="s">
        <v>80</v>
      </c>
      <c r="C374" s="80"/>
      <c r="D374" s="80"/>
      <c r="E374" s="31">
        <f>E375+E455</f>
        <v>1292423.5999999999</v>
      </c>
      <c r="F374" s="31">
        <f>F375+F455</f>
        <v>-1447.3000000000038</v>
      </c>
      <c r="G374" s="31">
        <f>G375+G455</f>
        <v>1290976.3000000003</v>
      </c>
      <c r="H374" s="31">
        <f>H375+H455</f>
        <v>1257871.5999999999</v>
      </c>
      <c r="I374" s="31">
        <f>I375+I455</f>
        <v>1305482.2999999996</v>
      </c>
    </row>
    <row r="375" spans="1:9" ht="15.75">
      <c r="A375" s="160" t="s">
        <v>300</v>
      </c>
      <c r="B375" s="72" t="s">
        <v>80</v>
      </c>
      <c r="C375" s="71" t="s">
        <v>109</v>
      </c>
      <c r="D375" s="71" t="s">
        <v>0</v>
      </c>
      <c r="E375" s="77">
        <f>E376+E393+E419+E434+E443</f>
        <v>1291536.0999999999</v>
      </c>
      <c r="F375" s="77">
        <f>F376+F393+F419+F434+F443</f>
        <v>-1608.200000000004</v>
      </c>
      <c r="G375" s="77">
        <f>G376+G393+G419+G434+G443</f>
        <v>1289927.9000000004</v>
      </c>
      <c r="H375" s="77">
        <f>H376+H393+H419+H434+H443</f>
        <v>1257126.7</v>
      </c>
      <c r="I375" s="77">
        <f>I376+I393+I419+I434+I443</f>
        <v>1304838.4999999995</v>
      </c>
    </row>
    <row r="376" spans="1:9" ht="31.5">
      <c r="A376" s="161" t="s">
        <v>322</v>
      </c>
      <c r="B376" s="81" t="s">
        <v>80</v>
      </c>
      <c r="C376" s="11" t="s">
        <v>110</v>
      </c>
      <c r="D376" s="11" t="s">
        <v>0</v>
      </c>
      <c r="E376" s="12">
        <f>E377+E389+E383+E391+E381+E379+E387+E385</f>
        <v>511965.7</v>
      </c>
      <c r="F376" s="12">
        <f>F377+F389+F383+F391+F381+F379+F387+F385</f>
        <v>-22825.3</v>
      </c>
      <c r="G376" s="12">
        <f>G377+G389+G383+G391+G381+G379+G387+G385</f>
        <v>489140.4</v>
      </c>
      <c r="H376" s="12">
        <f>H377+H389+H383+H391+H381+H379+H387+H385</f>
        <v>479523.1</v>
      </c>
      <c r="I376" s="12">
        <f>I377+I389+I383+I391+I381+I379+I387+I385</f>
        <v>498323</v>
      </c>
    </row>
    <row r="377" spans="1:9" ht="31.5">
      <c r="A377" s="45" t="s">
        <v>25</v>
      </c>
      <c r="B377" s="42" t="s">
        <v>80</v>
      </c>
      <c r="C377" s="42" t="s">
        <v>108</v>
      </c>
      <c r="D377" s="42"/>
      <c r="E377" s="43">
        <f>E378</f>
        <v>63198.9</v>
      </c>
      <c r="F377" s="43">
        <f>F378</f>
        <v>12428.9</v>
      </c>
      <c r="G377" s="43">
        <f>G378</f>
        <v>75627.8</v>
      </c>
      <c r="H377" s="43">
        <f>H378</f>
        <v>51878.4</v>
      </c>
      <c r="I377" s="43">
        <f>I378</f>
        <v>53778.6</v>
      </c>
    </row>
    <row r="378" spans="1:9" ht="31.5">
      <c r="A378" s="45" t="s">
        <v>10</v>
      </c>
      <c r="B378" s="42" t="s">
        <v>80</v>
      </c>
      <c r="C378" s="42" t="s">
        <v>108</v>
      </c>
      <c r="D378" s="42" t="s">
        <v>11</v>
      </c>
      <c r="E378" s="37">
        <v>63198.9</v>
      </c>
      <c r="F378" s="121">
        <f>-445+12873.9</f>
        <v>12428.9</v>
      </c>
      <c r="G378" s="43">
        <f>E378+F378</f>
        <v>75627.8</v>
      </c>
      <c r="H378" s="37">
        <v>51878.4</v>
      </c>
      <c r="I378" s="37">
        <v>53778.6</v>
      </c>
    </row>
    <row r="379" spans="1:9" ht="31.5">
      <c r="A379" s="45" t="s">
        <v>261</v>
      </c>
      <c r="B379" s="42" t="s">
        <v>80</v>
      </c>
      <c r="C379" s="42" t="s">
        <v>269</v>
      </c>
      <c r="D379" s="42"/>
      <c r="E379" s="37">
        <f>E380</f>
        <v>1780</v>
      </c>
      <c r="F379" s="37">
        <f>F380</f>
        <v>0</v>
      </c>
      <c r="G379" s="37">
        <f>G380</f>
        <v>1780</v>
      </c>
      <c r="H379" s="37">
        <f>H380</f>
        <v>1780</v>
      </c>
      <c r="I379" s="37">
        <f>I380</f>
        <v>1780</v>
      </c>
    </row>
    <row r="380" spans="1:9" ht="31.5">
      <c r="A380" s="45" t="s">
        <v>10</v>
      </c>
      <c r="B380" s="42" t="s">
        <v>80</v>
      </c>
      <c r="C380" s="42" t="s">
        <v>269</v>
      </c>
      <c r="D380" s="42" t="s">
        <v>11</v>
      </c>
      <c r="E380" s="37">
        <v>1780</v>
      </c>
      <c r="F380" s="126"/>
      <c r="G380" s="43">
        <f>E380+F380</f>
        <v>1780</v>
      </c>
      <c r="H380" s="37">
        <v>1780</v>
      </c>
      <c r="I380" s="37">
        <v>1780</v>
      </c>
    </row>
    <row r="381" spans="1:9" ht="47.25">
      <c r="A381" s="45" t="s">
        <v>63</v>
      </c>
      <c r="B381" s="42" t="s">
        <v>80</v>
      </c>
      <c r="C381" s="42" t="s">
        <v>112</v>
      </c>
      <c r="D381" s="42"/>
      <c r="E381" s="43">
        <f>E382</f>
        <v>411362.5</v>
      </c>
      <c r="F381" s="43">
        <f>F382</f>
        <v>-14883.8</v>
      </c>
      <c r="G381" s="43">
        <f>G382</f>
        <v>396478.7</v>
      </c>
      <c r="H381" s="43">
        <f>H382</f>
        <v>399413.5</v>
      </c>
      <c r="I381" s="43">
        <f>I382</f>
        <v>415866.1</v>
      </c>
    </row>
    <row r="382" spans="1:9" ht="31.5">
      <c r="A382" s="45" t="s">
        <v>10</v>
      </c>
      <c r="B382" s="42" t="s">
        <v>80</v>
      </c>
      <c r="C382" s="42" t="s">
        <v>112</v>
      </c>
      <c r="D382" s="42" t="s">
        <v>11</v>
      </c>
      <c r="E382" s="43">
        <v>411362.5</v>
      </c>
      <c r="F382" s="121">
        <f>-573.8-14310</f>
        <v>-14883.8</v>
      </c>
      <c r="G382" s="43">
        <f>E382+F382</f>
        <v>396478.7</v>
      </c>
      <c r="H382" s="43">
        <v>399413.5</v>
      </c>
      <c r="I382" s="43">
        <v>415866.1</v>
      </c>
    </row>
    <row r="383" spans="1:9" ht="31.5">
      <c r="A383" s="45" t="s">
        <v>26</v>
      </c>
      <c r="B383" s="27" t="s">
        <v>80</v>
      </c>
      <c r="C383" s="42" t="s">
        <v>111</v>
      </c>
      <c r="D383" s="42"/>
      <c r="E383" s="43">
        <f>E384</f>
        <v>3521.7</v>
      </c>
      <c r="F383" s="43">
        <f>F384</f>
        <v>3214.9000000000005</v>
      </c>
      <c r="G383" s="43">
        <f>G384</f>
        <v>6736.6</v>
      </c>
      <c r="H383" s="43">
        <f>H384</f>
        <v>0</v>
      </c>
      <c r="I383" s="43">
        <f>I384</f>
        <v>0</v>
      </c>
    </row>
    <row r="384" spans="1:9" ht="31.5">
      <c r="A384" s="45" t="s">
        <v>10</v>
      </c>
      <c r="B384" s="21" t="s">
        <v>80</v>
      </c>
      <c r="C384" s="42" t="s">
        <v>111</v>
      </c>
      <c r="D384" s="42" t="s">
        <v>11</v>
      </c>
      <c r="E384" s="43">
        <v>3521.7</v>
      </c>
      <c r="F384" s="121">
        <f>1059.5+1857.3+163.3+134.8</f>
        <v>3214.9000000000005</v>
      </c>
      <c r="G384" s="43">
        <f>E384+F384</f>
        <v>6736.6</v>
      </c>
      <c r="H384" s="43">
        <v>0</v>
      </c>
      <c r="I384" s="43">
        <v>0</v>
      </c>
    </row>
    <row r="385" spans="1:9" ht="47.25">
      <c r="A385" s="45" t="s">
        <v>416</v>
      </c>
      <c r="B385" s="35" t="s">
        <v>80</v>
      </c>
      <c r="C385" s="42" t="s">
        <v>418</v>
      </c>
      <c r="D385" s="42"/>
      <c r="E385" s="43">
        <f>E386</f>
        <v>5231.7</v>
      </c>
      <c r="F385" s="43">
        <f>F386</f>
        <v>0</v>
      </c>
      <c r="G385" s="43">
        <f>G386</f>
        <v>5231.7</v>
      </c>
      <c r="H385" s="43">
        <f>H386</f>
        <v>0</v>
      </c>
      <c r="I385" s="43">
        <f>I386</f>
        <v>0</v>
      </c>
    </row>
    <row r="386" spans="1:9" ht="31.5">
      <c r="A386" s="45" t="s">
        <v>10</v>
      </c>
      <c r="B386" s="21" t="s">
        <v>80</v>
      </c>
      <c r="C386" s="42" t="s">
        <v>418</v>
      </c>
      <c r="D386" s="42" t="s">
        <v>11</v>
      </c>
      <c r="E386" s="43">
        <v>5231.7</v>
      </c>
      <c r="F386" s="121"/>
      <c r="G386" s="43">
        <f>E386+F386</f>
        <v>5231.7</v>
      </c>
      <c r="H386" s="43">
        <v>0</v>
      </c>
      <c r="I386" s="43">
        <v>0</v>
      </c>
    </row>
    <row r="387" spans="1:9" ht="31.5">
      <c r="A387" s="45" t="s">
        <v>202</v>
      </c>
      <c r="B387" s="42" t="s">
        <v>80</v>
      </c>
      <c r="C387" s="42" t="s">
        <v>325</v>
      </c>
      <c r="D387" s="42"/>
      <c r="E387" s="43">
        <f>E388</f>
        <v>666.6</v>
      </c>
      <c r="F387" s="47">
        <f>F388</f>
        <v>0</v>
      </c>
      <c r="G387" s="43">
        <f>G388</f>
        <v>666.6</v>
      </c>
      <c r="H387" s="43">
        <f>H388</f>
        <v>0</v>
      </c>
      <c r="I387" s="43">
        <f>I388</f>
        <v>0</v>
      </c>
    </row>
    <row r="388" spans="1:9" ht="31.5">
      <c r="A388" s="45" t="s">
        <v>10</v>
      </c>
      <c r="B388" s="42" t="s">
        <v>80</v>
      </c>
      <c r="C388" s="42" t="s">
        <v>325</v>
      </c>
      <c r="D388" s="42" t="s">
        <v>11</v>
      </c>
      <c r="E388" s="43">
        <v>666.6</v>
      </c>
      <c r="F388" s="140"/>
      <c r="G388" s="43">
        <f>E388+F388</f>
        <v>666.6</v>
      </c>
      <c r="H388" s="43">
        <v>0</v>
      </c>
      <c r="I388" s="43">
        <v>0</v>
      </c>
    </row>
    <row r="389" spans="1:9" ht="78.75">
      <c r="A389" s="45" t="s">
        <v>62</v>
      </c>
      <c r="B389" s="42" t="s">
        <v>80</v>
      </c>
      <c r="C389" s="42" t="s">
        <v>359</v>
      </c>
      <c r="D389" s="42"/>
      <c r="E389" s="43">
        <f>E390</f>
        <v>24355.3</v>
      </c>
      <c r="F389" s="47">
        <f>F390</f>
        <v>-23527.3</v>
      </c>
      <c r="G389" s="43">
        <f>G390</f>
        <v>828</v>
      </c>
      <c r="H389" s="43">
        <f>H390</f>
        <v>24505.2</v>
      </c>
      <c r="I389" s="43">
        <f>I390</f>
        <v>24828.3</v>
      </c>
    </row>
    <row r="390" spans="1:9" ht="31.5">
      <c r="A390" s="45" t="s">
        <v>10</v>
      </c>
      <c r="B390" s="42" t="s">
        <v>80</v>
      </c>
      <c r="C390" s="42" t="s">
        <v>359</v>
      </c>
      <c r="D390" s="42" t="s">
        <v>11</v>
      </c>
      <c r="E390" s="43">
        <v>24355.3</v>
      </c>
      <c r="F390" s="140">
        <v>-23527.3</v>
      </c>
      <c r="G390" s="43">
        <f>E390+F390</f>
        <v>828</v>
      </c>
      <c r="H390" s="43">
        <v>24505.2</v>
      </c>
      <c r="I390" s="43">
        <v>24828.3</v>
      </c>
    </row>
    <row r="391" spans="1:9" ht="94.5">
      <c r="A391" s="45" t="s">
        <v>194</v>
      </c>
      <c r="B391" s="42" t="s">
        <v>80</v>
      </c>
      <c r="C391" s="42" t="s">
        <v>360</v>
      </c>
      <c r="D391" s="42"/>
      <c r="E391" s="43">
        <f>E392</f>
        <v>1849</v>
      </c>
      <c r="F391" s="47">
        <f>F392</f>
        <v>-58</v>
      </c>
      <c r="G391" s="43">
        <f>G392</f>
        <v>1791</v>
      </c>
      <c r="H391" s="43">
        <f>H392</f>
        <v>1946</v>
      </c>
      <c r="I391" s="43">
        <f>I392</f>
        <v>2070</v>
      </c>
    </row>
    <row r="392" spans="1:9" ht="15.75">
      <c r="A392" s="45" t="s">
        <v>27</v>
      </c>
      <c r="B392" s="42" t="s">
        <v>80</v>
      </c>
      <c r="C392" s="42" t="s">
        <v>360</v>
      </c>
      <c r="D392" s="42" t="s">
        <v>16</v>
      </c>
      <c r="E392" s="43">
        <v>1849</v>
      </c>
      <c r="F392" s="140">
        <v>-58</v>
      </c>
      <c r="G392" s="43">
        <f>E392+F392</f>
        <v>1791</v>
      </c>
      <c r="H392" s="43">
        <v>1946</v>
      </c>
      <c r="I392" s="43">
        <v>2070</v>
      </c>
    </row>
    <row r="393" spans="1:9" ht="15.75">
      <c r="A393" s="161" t="s">
        <v>302</v>
      </c>
      <c r="B393" s="81" t="s">
        <v>80</v>
      </c>
      <c r="C393" s="11" t="s">
        <v>113</v>
      </c>
      <c r="D393" s="11" t="s">
        <v>0</v>
      </c>
      <c r="E393" s="12">
        <f>E394+E400+E411+E409+E398+E407+E405+E396+E417+E403+E413</f>
        <v>650580.4999999999</v>
      </c>
      <c r="F393" s="12">
        <f>F394+F400+F411+F409+F398+F407+F405+F396+F417+F403+F413+F415</f>
        <v>17620.799999999996</v>
      </c>
      <c r="G393" s="12">
        <f>G394+G400+G411+G409+G398+G407+G405+G396+G417+G403+G413+G415</f>
        <v>668201.3</v>
      </c>
      <c r="H393" s="12">
        <f>H394+H400+H411+H409+H398+H407+H405+H396+H417+H403+H413</f>
        <v>651787.9</v>
      </c>
      <c r="I393" s="12">
        <f>I394+I400+I411+I409+I398+I407+I405+I396+I417+I403+I413</f>
        <v>678974.2999999999</v>
      </c>
    </row>
    <row r="394" spans="1:9" ht="31.5">
      <c r="A394" s="45" t="s">
        <v>25</v>
      </c>
      <c r="B394" s="42" t="s">
        <v>80</v>
      </c>
      <c r="C394" s="42" t="s">
        <v>114</v>
      </c>
      <c r="D394" s="42"/>
      <c r="E394" s="43">
        <f>E395</f>
        <v>102502.6</v>
      </c>
      <c r="F394" s="43">
        <f>F395</f>
        <v>12616.1</v>
      </c>
      <c r="G394" s="43">
        <f>G395</f>
        <v>115118.70000000001</v>
      </c>
      <c r="H394" s="43">
        <f>H395</f>
        <v>95107.3</v>
      </c>
      <c r="I394" s="43">
        <f>I395</f>
        <v>99469.2</v>
      </c>
    </row>
    <row r="395" spans="1:9" ht="31.5">
      <c r="A395" s="45" t="s">
        <v>10</v>
      </c>
      <c r="B395" s="21" t="s">
        <v>80</v>
      </c>
      <c r="C395" s="42" t="s">
        <v>114</v>
      </c>
      <c r="D395" s="42" t="s">
        <v>11</v>
      </c>
      <c r="E395" s="37">
        <v>102502.6</v>
      </c>
      <c r="F395" s="121">
        <f>51.6+33+12531.5</f>
        <v>12616.1</v>
      </c>
      <c r="G395" s="37">
        <f>E395+F395</f>
        <v>115118.70000000001</v>
      </c>
      <c r="H395" s="37">
        <v>95107.3</v>
      </c>
      <c r="I395" s="37">
        <v>99469.2</v>
      </c>
    </row>
    <row r="396" spans="1:9" ht="31.5">
      <c r="A396" s="45" t="s">
        <v>261</v>
      </c>
      <c r="B396" s="21" t="s">
        <v>80</v>
      </c>
      <c r="C396" s="42" t="s">
        <v>270</v>
      </c>
      <c r="D396" s="42"/>
      <c r="E396" s="37">
        <f>E397</f>
        <v>1712.2</v>
      </c>
      <c r="F396" s="138"/>
      <c r="G396" s="37">
        <f>G397</f>
        <v>1712.2</v>
      </c>
      <c r="H396" s="37">
        <f>H397</f>
        <v>1712.2</v>
      </c>
      <c r="I396" s="37">
        <f>I397</f>
        <v>1712.2</v>
      </c>
    </row>
    <row r="397" spans="1:9" ht="31.5">
      <c r="A397" s="45" t="s">
        <v>10</v>
      </c>
      <c r="B397" s="21" t="s">
        <v>80</v>
      </c>
      <c r="C397" s="42" t="s">
        <v>270</v>
      </c>
      <c r="D397" s="42" t="s">
        <v>11</v>
      </c>
      <c r="E397" s="37">
        <v>1712.2</v>
      </c>
      <c r="F397" s="139"/>
      <c r="G397" s="37">
        <f>E397+F397</f>
        <v>1712.2</v>
      </c>
      <c r="H397" s="37">
        <v>1712.2</v>
      </c>
      <c r="I397" s="37">
        <v>1712.2</v>
      </c>
    </row>
    <row r="398" spans="1:9" ht="47.25">
      <c r="A398" s="45" t="s">
        <v>63</v>
      </c>
      <c r="B398" s="21" t="s">
        <v>80</v>
      </c>
      <c r="C398" s="42" t="s">
        <v>115</v>
      </c>
      <c r="D398" s="42"/>
      <c r="E398" s="43">
        <f>E399</f>
        <v>484515.7</v>
      </c>
      <c r="F398" s="133">
        <f>F399</f>
        <v>14360</v>
      </c>
      <c r="G398" s="43">
        <f>G399</f>
        <v>498875.7</v>
      </c>
      <c r="H398" s="43">
        <f>H399</f>
        <v>521918.4</v>
      </c>
      <c r="I398" s="43">
        <f>I399</f>
        <v>543417.2</v>
      </c>
    </row>
    <row r="399" spans="1:9" ht="31.5">
      <c r="A399" s="45" t="s">
        <v>10</v>
      </c>
      <c r="B399" s="42" t="s">
        <v>80</v>
      </c>
      <c r="C399" s="42" t="s">
        <v>115</v>
      </c>
      <c r="D399" s="42" t="s">
        <v>11</v>
      </c>
      <c r="E399" s="43">
        <v>484515.7</v>
      </c>
      <c r="F399" s="114">
        <f>50+14310</f>
        <v>14360</v>
      </c>
      <c r="G399" s="37">
        <f>E399+F399</f>
        <v>498875.7</v>
      </c>
      <c r="H399" s="43">
        <v>521918.4</v>
      </c>
      <c r="I399" s="43">
        <v>543417.2</v>
      </c>
    </row>
    <row r="400" spans="1:9" ht="31.5">
      <c r="A400" s="45" t="s">
        <v>28</v>
      </c>
      <c r="B400" s="42" t="s">
        <v>80</v>
      </c>
      <c r="C400" s="42" t="s">
        <v>121</v>
      </c>
      <c r="D400" s="42"/>
      <c r="E400" s="43">
        <f>E402+E401</f>
        <v>8494.7</v>
      </c>
      <c r="F400" s="43">
        <f>F402+F401</f>
        <v>-372.4000000000001</v>
      </c>
      <c r="G400" s="43">
        <f>G402+G401</f>
        <v>8122.3</v>
      </c>
      <c r="H400" s="43">
        <f>H402+H401</f>
        <v>0</v>
      </c>
      <c r="I400" s="43">
        <f>I402+I401</f>
        <v>0</v>
      </c>
    </row>
    <row r="401" spans="1:9" ht="31.5">
      <c r="A401" s="45" t="s">
        <v>383</v>
      </c>
      <c r="B401" s="42" t="s">
        <v>382</v>
      </c>
      <c r="C401" s="42" t="s">
        <v>121</v>
      </c>
      <c r="D401" s="42" t="s">
        <v>24</v>
      </c>
      <c r="E401" s="43">
        <v>4546.7</v>
      </c>
      <c r="F401" s="121">
        <v>-974.7</v>
      </c>
      <c r="G401" s="37">
        <f>E401+F401</f>
        <v>3572</v>
      </c>
      <c r="H401" s="43">
        <v>0</v>
      </c>
      <c r="I401" s="43">
        <v>0</v>
      </c>
    </row>
    <row r="402" spans="1:9" ht="31.5">
      <c r="A402" s="45" t="s">
        <v>10</v>
      </c>
      <c r="B402" s="42" t="s">
        <v>80</v>
      </c>
      <c r="C402" s="42" t="s">
        <v>121</v>
      </c>
      <c r="D402" s="42" t="s">
        <v>11</v>
      </c>
      <c r="E402" s="43">
        <v>3948</v>
      </c>
      <c r="F402" s="121">
        <f>308.6+46.4+247.3</f>
        <v>602.3</v>
      </c>
      <c r="G402" s="37">
        <f>E402+F402</f>
        <v>4550.3</v>
      </c>
      <c r="H402" s="43">
        <v>0</v>
      </c>
      <c r="I402" s="43">
        <v>0</v>
      </c>
    </row>
    <row r="403" spans="1:9" ht="47.25">
      <c r="A403" s="45" t="s">
        <v>416</v>
      </c>
      <c r="B403" s="27" t="s">
        <v>80</v>
      </c>
      <c r="C403" s="42" t="s">
        <v>419</v>
      </c>
      <c r="D403" s="42"/>
      <c r="E403" s="43">
        <f>E404</f>
        <v>10375.2</v>
      </c>
      <c r="F403" s="43">
        <f>F404</f>
        <v>0</v>
      </c>
      <c r="G403" s="43">
        <f>G404</f>
        <v>10375.2</v>
      </c>
      <c r="H403" s="43">
        <f>H404</f>
        <v>0</v>
      </c>
      <c r="I403" s="43">
        <f>I404</f>
        <v>0</v>
      </c>
    </row>
    <row r="404" spans="1:9" ht="31.5">
      <c r="A404" s="45" t="s">
        <v>10</v>
      </c>
      <c r="B404" s="21" t="s">
        <v>80</v>
      </c>
      <c r="C404" s="42" t="s">
        <v>419</v>
      </c>
      <c r="D404" s="42" t="s">
        <v>11</v>
      </c>
      <c r="E404" s="43">
        <v>10375.2</v>
      </c>
      <c r="F404" s="121"/>
      <c r="G404" s="37">
        <f>E404+F404</f>
        <v>10375.2</v>
      </c>
      <c r="H404" s="43">
        <v>0</v>
      </c>
      <c r="I404" s="43">
        <v>0</v>
      </c>
    </row>
    <row r="405" spans="1:9" ht="31.5">
      <c r="A405" s="45" t="s">
        <v>202</v>
      </c>
      <c r="B405" s="42" t="s">
        <v>80</v>
      </c>
      <c r="C405" s="42" t="s">
        <v>206</v>
      </c>
      <c r="D405" s="42"/>
      <c r="E405" s="43">
        <f>E406</f>
        <v>582</v>
      </c>
      <c r="F405" s="47">
        <f>F406</f>
        <v>0</v>
      </c>
      <c r="G405" s="43">
        <f>G406</f>
        <v>582</v>
      </c>
      <c r="H405" s="43">
        <f>H406</f>
        <v>0</v>
      </c>
      <c r="I405" s="43">
        <f>I406</f>
        <v>0</v>
      </c>
    </row>
    <row r="406" spans="1:9" ht="31.5">
      <c r="A406" s="45" t="s">
        <v>10</v>
      </c>
      <c r="B406" s="42" t="s">
        <v>80</v>
      </c>
      <c r="C406" s="42" t="s">
        <v>206</v>
      </c>
      <c r="D406" s="42" t="s">
        <v>11</v>
      </c>
      <c r="E406" s="43">
        <v>582</v>
      </c>
      <c r="F406" s="140"/>
      <c r="G406" s="37">
        <f>E406+F406</f>
        <v>582</v>
      </c>
      <c r="H406" s="43">
        <v>0</v>
      </c>
      <c r="I406" s="43">
        <v>0</v>
      </c>
    </row>
    <row r="407" spans="1:9" ht="63">
      <c r="A407" s="45" t="s">
        <v>91</v>
      </c>
      <c r="B407" s="42" t="s">
        <v>80</v>
      </c>
      <c r="C407" s="27" t="s">
        <v>361</v>
      </c>
      <c r="D407" s="42"/>
      <c r="E407" s="37">
        <f>E408</f>
        <v>27780.2</v>
      </c>
      <c r="F407" s="59">
        <f>F408</f>
        <v>-20977.2</v>
      </c>
      <c r="G407" s="37">
        <f>G408</f>
        <v>6803</v>
      </c>
      <c r="H407" s="37">
        <f>H408</f>
        <v>28891.300000000003</v>
      </c>
      <c r="I407" s="37">
        <f>I408</f>
        <v>30047</v>
      </c>
    </row>
    <row r="408" spans="1:9" ht="31.5">
      <c r="A408" s="45" t="s">
        <v>10</v>
      </c>
      <c r="B408" s="42" t="s">
        <v>80</v>
      </c>
      <c r="C408" s="27" t="s">
        <v>361</v>
      </c>
      <c r="D408" s="42" t="s">
        <v>11</v>
      </c>
      <c r="E408" s="37">
        <f>277.8+27502.4</f>
        <v>27780.2</v>
      </c>
      <c r="F408" s="140">
        <v>-20977.2</v>
      </c>
      <c r="G408" s="37">
        <f>E408+F408</f>
        <v>6803</v>
      </c>
      <c r="H408" s="37">
        <f>288.9+28602.4</f>
        <v>28891.300000000003</v>
      </c>
      <c r="I408" s="37">
        <f>29746.5+300.5</f>
        <v>30047</v>
      </c>
    </row>
    <row r="409" spans="1:9" ht="63">
      <c r="A409" s="45" t="s">
        <v>81</v>
      </c>
      <c r="B409" s="42" t="s">
        <v>80</v>
      </c>
      <c r="C409" s="42" t="s">
        <v>362</v>
      </c>
      <c r="D409" s="42"/>
      <c r="E409" s="43">
        <f>E410</f>
        <v>18.7</v>
      </c>
      <c r="F409" s="47">
        <f>F410</f>
        <v>-17.099999999999998</v>
      </c>
      <c r="G409" s="43">
        <f>G410</f>
        <v>1.6000000000000014</v>
      </c>
      <c r="H409" s="43">
        <f>H410</f>
        <v>18.7</v>
      </c>
      <c r="I409" s="43">
        <f>I410</f>
        <v>18.7</v>
      </c>
    </row>
    <row r="410" spans="1:9" ht="15.75">
      <c r="A410" s="45" t="s">
        <v>27</v>
      </c>
      <c r="B410" s="42" t="s">
        <v>80</v>
      </c>
      <c r="C410" s="42" t="s">
        <v>362</v>
      </c>
      <c r="D410" s="42" t="s">
        <v>16</v>
      </c>
      <c r="E410" s="43">
        <v>18.7</v>
      </c>
      <c r="F410" s="140">
        <f>-17.2+0.1</f>
        <v>-17.099999999999998</v>
      </c>
      <c r="G410" s="37">
        <f>E410+F410</f>
        <v>1.6000000000000014</v>
      </c>
      <c r="H410" s="43">
        <v>18.7</v>
      </c>
      <c r="I410" s="43">
        <v>18.7</v>
      </c>
    </row>
    <row r="411" spans="1:9" ht="94.5">
      <c r="A411" s="45" t="s">
        <v>194</v>
      </c>
      <c r="B411" s="42" t="s">
        <v>80</v>
      </c>
      <c r="C411" s="42" t="s">
        <v>363</v>
      </c>
      <c r="D411" s="42"/>
      <c r="E411" s="43">
        <f>E412</f>
        <v>3942</v>
      </c>
      <c r="F411" s="47">
        <f>F412</f>
        <v>58</v>
      </c>
      <c r="G411" s="43">
        <f>G412</f>
        <v>4000</v>
      </c>
      <c r="H411" s="43">
        <f>H412</f>
        <v>4140</v>
      </c>
      <c r="I411" s="43">
        <f>I412</f>
        <v>4310</v>
      </c>
    </row>
    <row r="412" spans="1:9" ht="15.75">
      <c r="A412" s="45" t="s">
        <v>27</v>
      </c>
      <c r="B412" s="42" t="s">
        <v>80</v>
      </c>
      <c r="C412" s="42" t="s">
        <v>363</v>
      </c>
      <c r="D412" s="42" t="s">
        <v>16</v>
      </c>
      <c r="E412" s="43">
        <v>3942</v>
      </c>
      <c r="F412" s="140">
        <v>58</v>
      </c>
      <c r="G412" s="37">
        <f>E412+F412</f>
        <v>4000</v>
      </c>
      <c r="H412" s="43">
        <v>4140</v>
      </c>
      <c r="I412" s="43">
        <v>4310</v>
      </c>
    </row>
    <row r="413" spans="1:9" ht="94.5">
      <c r="A413" s="45" t="s">
        <v>452</v>
      </c>
      <c r="B413" s="42" t="s">
        <v>80</v>
      </c>
      <c r="C413" s="42" t="s">
        <v>453</v>
      </c>
      <c r="D413" s="42"/>
      <c r="E413" s="43">
        <f>E414</f>
        <v>8835.4</v>
      </c>
      <c r="F413" s="47">
        <f>F414</f>
        <v>0</v>
      </c>
      <c r="G413" s="43">
        <f>G414</f>
        <v>8835.4</v>
      </c>
      <c r="H413" s="43">
        <f>H414</f>
        <v>0</v>
      </c>
      <c r="I413" s="43">
        <f>I414</f>
        <v>0</v>
      </c>
    </row>
    <row r="414" spans="1:9" ht="31.5">
      <c r="A414" s="45" t="s">
        <v>10</v>
      </c>
      <c r="B414" s="42" t="s">
        <v>80</v>
      </c>
      <c r="C414" s="42" t="s">
        <v>453</v>
      </c>
      <c r="D414" s="42" t="s">
        <v>11</v>
      </c>
      <c r="E414" s="121">
        <v>8835.4</v>
      </c>
      <c r="F414" s="121">
        <v>0</v>
      </c>
      <c r="G414" s="37">
        <f>E414+F414</f>
        <v>8835.4</v>
      </c>
      <c r="H414" s="43">
        <v>0</v>
      </c>
      <c r="I414" s="43">
        <v>0</v>
      </c>
    </row>
    <row r="415" spans="1:9" ht="47.25">
      <c r="A415" s="45" t="s">
        <v>465</v>
      </c>
      <c r="B415" s="42" t="s">
        <v>80</v>
      </c>
      <c r="C415" s="42" t="s">
        <v>464</v>
      </c>
      <c r="D415" s="42"/>
      <c r="E415" s="43">
        <f>E416</f>
        <v>0</v>
      </c>
      <c r="F415" s="47">
        <f>F416</f>
        <v>11953.4</v>
      </c>
      <c r="G415" s="43">
        <f>G416</f>
        <v>11953.4</v>
      </c>
      <c r="H415" s="43">
        <f>H416</f>
        <v>0</v>
      </c>
      <c r="I415" s="43">
        <f>I416</f>
        <v>0</v>
      </c>
    </row>
    <row r="416" spans="1:9" ht="31.5">
      <c r="A416" s="45" t="s">
        <v>10</v>
      </c>
      <c r="B416" s="42" t="s">
        <v>80</v>
      </c>
      <c r="C416" s="42" t="s">
        <v>464</v>
      </c>
      <c r="D416" s="42" t="s">
        <v>11</v>
      </c>
      <c r="E416" s="121">
        <v>0</v>
      </c>
      <c r="F416" s="121">
        <v>11953.4</v>
      </c>
      <c r="G416" s="37">
        <f>E416+F416</f>
        <v>11953.4</v>
      </c>
      <c r="H416" s="43">
        <v>0</v>
      </c>
      <c r="I416" s="43">
        <v>0</v>
      </c>
    </row>
    <row r="417" spans="1:9" ht="47.25">
      <c r="A417" s="45" t="s">
        <v>416</v>
      </c>
      <c r="B417" s="42" t="s">
        <v>80</v>
      </c>
      <c r="C417" s="42" t="s">
        <v>415</v>
      </c>
      <c r="D417" s="42"/>
      <c r="E417" s="43">
        <f>E418</f>
        <v>1821.8</v>
      </c>
      <c r="F417" s="43">
        <f>F418</f>
        <v>0</v>
      </c>
      <c r="G417" s="43">
        <f>G418</f>
        <v>1821.8</v>
      </c>
      <c r="H417" s="43">
        <f>H418</f>
        <v>0</v>
      </c>
      <c r="I417" s="43">
        <f>I418</f>
        <v>0</v>
      </c>
    </row>
    <row r="418" spans="1:9" ht="31.5">
      <c r="A418" s="45" t="s">
        <v>10</v>
      </c>
      <c r="B418" s="42" t="s">
        <v>80</v>
      </c>
      <c r="C418" s="42" t="s">
        <v>415</v>
      </c>
      <c r="D418" s="42" t="s">
        <v>11</v>
      </c>
      <c r="E418" s="43">
        <v>1821.8</v>
      </c>
      <c r="F418" s="121"/>
      <c r="G418" s="37">
        <f>E418+F418</f>
        <v>1821.8</v>
      </c>
      <c r="H418" s="43">
        <v>0</v>
      </c>
      <c r="I418" s="43">
        <v>0</v>
      </c>
    </row>
    <row r="419" spans="1:9" ht="22.5" customHeight="1">
      <c r="A419" s="161" t="s">
        <v>303</v>
      </c>
      <c r="B419" s="81" t="s">
        <v>80</v>
      </c>
      <c r="C419" s="11" t="s">
        <v>116</v>
      </c>
      <c r="D419" s="11" t="s">
        <v>0</v>
      </c>
      <c r="E419" s="12">
        <f>E420+E426+E430+E422+E428+E432+E424</f>
        <v>45397.200000000004</v>
      </c>
      <c r="F419" s="12">
        <f>F420+F426+F430+F422+F428+F432+F424</f>
        <v>743.1000000000001</v>
      </c>
      <c r="G419" s="12">
        <f>G420+G426+G430+G422+G428+G432+G424</f>
        <v>46140.299999999996</v>
      </c>
      <c r="H419" s="12">
        <f>H420+H426+H430+H422+H428+H432+H424</f>
        <v>44404.8</v>
      </c>
      <c r="I419" s="12">
        <f>I420+I426+I430+I422+I428+I432+I424</f>
        <v>45471.899999999994</v>
      </c>
    </row>
    <row r="420" spans="1:9" ht="31.5">
      <c r="A420" s="45" t="s">
        <v>25</v>
      </c>
      <c r="B420" s="42" t="s">
        <v>80</v>
      </c>
      <c r="C420" s="42" t="s">
        <v>117</v>
      </c>
      <c r="D420" s="42"/>
      <c r="E420" s="43">
        <f>E421</f>
        <v>31639.8</v>
      </c>
      <c r="F420" s="43">
        <f>F421</f>
        <v>-1295.1</v>
      </c>
      <c r="G420" s="43">
        <f>G421</f>
        <v>30344.7</v>
      </c>
      <c r="H420" s="43">
        <f>H421</f>
        <v>30902.7</v>
      </c>
      <c r="I420" s="43">
        <f>I421</f>
        <v>31061.5</v>
      </c>
    </row>
    <row r="421" spans="1:9" ht="31.5">
      <c r="A421" s="45" t="s">
        <v>10</v>
      </c>
      <c r="B421" s="42" t="s">
        <v>80</v>
      </c>
      <c r="C421" s="42" t="s">
        <v>117</v>
      </c>
      <c r="D421" s="42" t="s">
        <v>11</v>
      </c>
      <c r="E421" s="37">
        <v>31639.8</v>
      </c>
      <c r="F421" s="121">
        <f>-1936.5+641.4</f>
        <v>-1295.1</v>
      </c>
      <c r="G421" s="37">
        <f>E421+F421</f>
        <v>30344.7</v>
      </c>
      <c r="H421" s="37">
        <v>30902.7</v>
      </c>
      <c r="I421" s="37">
        <v>31061.5</v>
      </c>
    </row>
    <row r="422" spans="1:9" ht="31.5">
      <c r="A422" s="45" t="s">
        <v>261</v>
      </c>
      <c r="B422" s="42" t="s">
        <v>80</v>
      </c>
      <c r="C422" s="42" t="s">
        <v>271</v>
      </c>
      <c r="D422" s="42"/>
      <c r="E422" s="37">
        <f>E423</f>
        <v>456.5</v>
      </c>
      <c r="F422" s="37">
        <f>F423</f>
        <v>0</v>
      </c>
      <c r="G422" s="37">
        <f>G423</f>
        <v>456.5</v>
      </c>
      <c r="H422" s="37">
        <f>H423</f>
        <v>456.5</v>
      </c>
      <c r="I422" s="37">
        <f>I423</f>
        <v>456.5</v>
      </c>
    </row>
    <row r="423" spans="1:9" ht="31.5">
      <c r="A423" s="45" t="s">
        <v>10</v>
      </c>
      <c r="B423" s="42" t="s">
        <v>80</v>
      </c>
      <c r="C423" s="42" t="s">
        <v>271</v>
      </c>
      <c r="D423" s="42" t="s">
        <v>11</v>
      </c>
      <c r="E423" s="37">
        <v>456.5</v>
      </c>
      <c r="F423" s="121"/>
      <c r="G423" s="37">
        <f>E423+F423</f>
        <v>456.5</v>
      </c>
      <c r="H423" s="37">
        <v>456.5</v>
      </c>
      <c r="I423" s="37">
        <v>456.5</v>
      </c>
    </row>
    <row r="424" spans="1:9" ht="31.5">
      <c r="A424" s="45" t="s">
        <v>470</v>
      </c>
      <c r="B424" s="42" t="s">
        <v>80</v>
      </c>
      <c r="C424" s="42" t="s">
        <v>469</v>
      </c>
      <c r="D424" s="42"/>
      <c r="E424" s="37">
        <f>E425</f>
        <v>0</v>
      </c>
      <c r="F424" s="37">
        <f>F425</f>
        <v>101.7</v>
      </c>
      <c r="G424" s="37">
        <f>G425</f>
        <v>101.7</v>
      </c>
      <c r="H424" s="37">
        <f>H425</f>
        <v>0</v>
      </c>
      <c r="I424" s="37">
        <f>I425</f>
        <v>0</v>
      </c>
    </row>
    <row r="425" spans="1:9" ht="31.5">
      <c r="A425" s="45" t="s">
        <v>10</v>
      </c>
      <c r="B425" s="42" t="s">
        <v>80</v>
      </c>
      <c r="C425" s="42" t="s">
        <v>469</v>
      </c>
      <c r="D425" s="42" t="s">
        <v>11</v>
      </c>
      <c r="E425" s="37">
        <v>0</v>
      </c>
      <c r="F425" s="121">
        <v>101.7</v>
      </c>
      <c r="G425" s="37">
        <f>E425+F425</f>
        <v>101.7</v>
      </c>
      <c r="H425" s="37">
        <v>0</v>
      </c>
      <c r="I425" s="37">
        <v>0</v>
      </c>
    </row>
    <row r="426" spans="1:9" ht="94.5">
      <c r="A426" s="45" t="s">
        <v>194</v>
      </c>
      <c r="B426" s="42" t="s">
        <v>80</v>
      </c>
      <c r="C426" s="42" t="s">
        <v>368</v>
      </c>
      <c r="D426" s="42"/>
      <c r="E426" s="43">
        <f>E427</f>
        <v>109</v>
      </c>
      <c r="F426" s="43">
        <f>F427</f>
        <v>0</v>
      </c>
      <c r="G426" s="43">
        <f>G427</f>
        <v>109</v>
      </c>
      <c r="H426" s="43">
        <f>H427</f>
        <v>114</v>
      </c>
      <c r="I426" s="43">
        <f>I427</f>
        <v>120</v>
      </c>
    </row>
    <row r="427" spans="1:9" ht="15.75">
      <c r="A427" s="45" t="s">
        <v>27</v>
      </c>
      <c r="B427" s="42" t="s">
        <v>80</v>
      </c>
      <c r="C427" s="42" t="s">
        <v>368</v>
      </c>
      <c r="D427" s="42" t="s">
        <v>16</v>
      </c>
      <c r="E427" s="43">
        <v>109</v>
      </c>
      <c r="F427" s="126"/>
      <c r="G427" s="37">
        <f>E427+F427</f>
        <v>109</v>
      </c>
      <c r="H427" s="43">
        <v>114</v>
      </c>
      <c r="I427" s="43">
        <v>120</v>
      </c>
    </row>
    <row r="428" spans="1:9" ht="47.25">
      <c r="A428" s="45" t="s">
        <v>274</v>
      </c>
      <c r="B428" s="42" t="s">
        <v>80</v>
      </c>
      <c r="C428" s="42" t="s">
        <v>369</v>
      </c>
      <c r="D428" s="42"/>
      <c r="E428" s="43">
        <f>E429</f>
        <v>8650.7</v>
      </c>
      <c r="F428" s="43">
        <f>F429</f>
        <v>0</v>
      </c>
      <c r="G428" s="43">
        <f>G429</f>
        <v>8650.7</v>
      </c>
      <c r="H428" s="43">
        <f>H429</f>
        <v>9431</v>
      </c>
      <c r="I428" s="43">
        <f>I429</f>
        <v>10333.3</v>
      </c>
    </row>
    <row r="429" spans="1:9" ht="31.5">
      <c r="A429" s="45" t="s">
        <v>10</v>
      </c>
      <c r="B429" s="42" t="s">
        <v>80</v>
      </c>
      <c r="C429" s="42" t="s">
        <v>369</v>
      </c>
      <c r="D429" s="42" t="s">
        <v>11</v>
      </c>
      <c r="E429" s="37">
        <f>8564.2+86.5</f>
        <v>8650.7</v>
      </c>
      <c r="F429" s="126"/>
      <c r="G429" s="37">
        <f>E429+F429</f>
        <v>8650.7</v>
      </c>
      <c r="H429" s="37">
        <f>94.3+9336.7</f>
        <v>9431</v>
      </c>
      <c r="I429" s="37">
        <f>103.3+10230</f>
        <v>10333.3</v>
      </c>
    </row>
    <row r="430" spans="1:9" ht="31.5">
      <c r="A430" s="45" t="s">
        <v>227</v>
      </c>
      <c r="B430" s="42" t="s">
        <v>80</v>
      </c>
      <c r="C430" s="42" t="s">
        <v>122</v>
      </c>
      <c r="D430" s="42"/>
      <c r="E430" s="43">
        <f>E431</f>
        <v>3500.6</v>
      </c>
      <c r="F430" s="43">
        <f>F431</f>
        <v>1936.5</v>
      </c>
      <c r="G430" s="43">
        <f>G431</f>
        <v>5437.1</v>
      </c>
      <c r="H430" s="43">
        <f>H431</f>
        <v>3500.6</v>
      </c>
      <c r="I430" s="43">
        <f>I431</f>
        <v>3500.6</v>
      </c>
    </row>
    <row r="431" spans="1:9" ht="31.5">
      <c r="A431" s="45" t="s">
        <v>10</v>
      </c>
      <c r="B431" s="42" t="s">
        <v>80</v>
      </c>
      <c r="C431" s="42" t="s">
        <v>122</v>
      </c>
      <c r="D431" s="42" t="s">
        <v>11</v>
      </c>
      <c r="E431" s="43">
        <v>3500.6</v>
      </c>
      <c r="F431" s="121">
        <v>1936.5</v>
      </c>
      <c r="G431" s="37">
        <f>E431+F431</f>
        <v>5437.1</v>
      </c>
      <c r="H431" s="43">
        <v>3500.6</v>
      </c>
      <c r="I431" s="43">
        <v>3500.6</v>
      </c>
    </row>
    <row r="432" spans="1:9" ht="47.25">
      <c r="A432" s="45" t="s">
        <v>416</v>
      </c>
      <c r="B432" s="42" t="s">
        <v>80</v>
      </c>
      <c r="C432" s="42" t="s">
        <v>417</v>
      </c>
      <c r="D432" s="42"/>
      <c r="E432" s="43">
        <f>E433</f>
        <v>1040.6</v>
      </c>
      <c r="F432" s="43">
        <f>F433</f>
        <v>0</v>
      </c>
      <c r="G432" s="43">
        <f>G433</f>
        <v>1040.6</v>
      </c>
      <c r="H432" s="43">
        <f>H433</f>
        <v>0</v>
      </c>
      <c r="I432" s="43">
        <f>I433</f>
        <v>0</v>
      </c>
    </row>
    <row r="433" spans="1:9" ht="31.5">
      <c r="A433" s="45" t="s">
        <v>10</v>
      </c>
      <c r="B433" s="42" t="s">
        <v>80</v>
      </c>
      <c r="C433" s="42" t="s">
        <v>417</v>
      </c>
      <c r="D433" s="42" t="s">
        <v>11</v>
      </c>
      <c r="E433" s="43">
        <v>1040.6</v>
      </c>
      <c r="F433" s="121"/>
      <c r="G433" s="43">
        <f>E433+F433</f>
        <v>1040.6</v>
      </c>
      <c r="H433" s="43">
        <v>0</v>
      </c>
      <c r="I433" s="43">
        <v>0</v>
      </c>
    </row>
    <row r="434" spans="1:9" ht="31.5">
      <c r="A434" s="161" t="s">
        <v>304</v>
      </c>
      <c r="B434" s="81" t="s">
        <v>80</v>
      </c>
      <c r="C434" s="11" t="s">
        <v>125</v>
      </c>
      <c r="D434" s="11" t="s">
        <v>0</v>
      </c>
      <c r="E434" s="12">
        <f>E439+E435</f>
        <v>5363.900000000001</v>
      </c>
      <c r="F434" s="12">
        <f>F439+F435</f>
        <v>-662.6</v>
      </c>
      <c r="G434" s="12">
        <f>G439+G435</f>
        <v>4701.3</v>
      </c>
      <c r="H434" s="12">
        <f>H439+H435</f>
        <v>5363.900000000001</v>
      </c>
      <c r="I434" s="12">
        <f>I439+I435</f>
        <v>5363.900000000001</v>
      </c>
    </row>
    <row r="435" spans="1:9" s="109" customFormat="1" ht="31.5">
      <c r="A435" s="45" t="s">
        <v>264</v>
      </c>
      <c r="B435" s="42" t="s">
        <v>80</v>
      </c>
      <c r="C435" s="42" t="s">
        <v>265</v>
      </c>
      <c r="D435" s="42"/>
      <c r="E435" s="43">
        <f>E437+E438+E436</f>
        <v>870.6000000000001</v>
      </c>
      <c r="F435" s="43">
        <f>F437+F438+F436</f>
        <v>-662.6</v>
      </c>
      <c r="G435" s="43">
        <f>G437+G438+G436</f>
        <v>208.00000000000006</v>
      </c>
      <c r="H435" s="43">
        <f>H437+H438+H436</f>
        <v>870.6000000000001</v>
      </c>
      <c r="I435" s="43">
        <f>I437+I438+I436</f>
        <v>870.6000000000001</v>
      </c>
    </row>
    <row r="436" spans="1:9" s="109" customFormat="1" ht="63">
      <c r="A436" s="45" t="s">
        <v>14</v>
      </c>
      <c r="B436" s="42" t="s">
        <v>80</v>
      </c>
      <c r="C436" s="42" t="s">
        <v>265</v>
      </c>
      <c r="D436" s="42" t="s">
        <v>15</v>
      </c>
      <c r="E436" s="43">
        <v>24.7</v>
      </c>
      <c r="F436" s="121">
        <v>-24.7</v>
      </c>
      <c r="G436" s="43">
        <f>E436+F436</f>
        <v>0</v>
      </c>
      <c r="H436" s="43">
        <v>24.7</v>
      </c>
      <c r="I436" s="43">
        <v>24.7</v>
      </c>
    </row>
    <row r="437" spans="1:9" s="109" customFormat="1" ht="31.5">
      <c r="A437" s="45" t="s">
        <v>454</v>
      </c>
      <c r="B437" s="42" t="s">
        <v>80</v>
      </c>
      <c r="C437" s="42" t="s">
        <v>265</v>
      </c>
      <c r="D437" s="42" t="s">
        <v>8</v>
      </c>
      <c r="E437" s="43">
        <v>99.7</v>
      </c>
      <c r="F437" s="121">
        <v>-65</v>
      </c>
      <c r="G437" s="43">
        <f>E437+F437</f>
        <v>34.7</v>
      </c>
      <c r="H437" s="43">
        <v>99.7</v>
      </c>
      <c r="I437" s="43">
        <v>99.7</v>
      </c>
    </row>
    <row r="438" spans="1:9" s="109" customFormat="1" ht="31.5">
      <c r="A438" s="45" t="s">
        <v>10</v>
      </c>
      <c r="B438" s="42" t="s">
        <v>80</v>
      </c>
      <c r="C438" s="42" t="s">
        <v>265</v>
      </c>
      <c r="D438" s="42" t="s">
        <v>11</v>
      </c>
      <c r="E438" s="43">
        <v>746.2</v>
      </c>
      <c r="F438" s="121">
        <v>-572.9</v>
      </c>
      <c r="G438" s="43">
        <f>E438+F438</f>
        <v>173.30000000000007</v>
      </c>
      <c r="H438" s="43">
        <v>746.2</v>
      </c>
      <c r="I438" s="43">
        <v>746.2</v>
      </c>
    </row>
    <row r="439" spans="1:9" ht="31.5">
      <c r="A439" s="45" t="s">
        <v>185</v>
      </c>
      <c r="B439" s="42" t="s">
        <v>80</v>
      </c>
      <c r="C439" s="42" t="s">
        <v>183</v>
      </c>
      <c r="D439" s="42"/>
      <c r="E439" s="43">
        <f>E442+E440+E441</f>
        <v>4493.3</v>
      </c>
      <c r="F439" s="43">
        <f>F442+F440+F441</f>
        <v>0</v>
      </c>
      <c r="G439" s="43">
        <f>G442+G440+G441</f>
        <v>4493.3</v>
      </c>
      <c r="H439" s="43">
        <f>H442+H440+H441</f>
        <v>4493.3</v>
      </c>
      <c r="I439" s="43">
        <f>I442+I440+I441</f>
        <v>4493.3</v>
      </c>
    </row>
    <row r="440" spans="1:9" ht="63">
      <c r="A440" s="45" t="s">
        <v>14</v>
      </c>
      <c r="B440" s="42" t="s">
        <v>80</v>
      </c>
      <c r="C440" s="42" t="s">
        <v>183</v>
      </c>
      <c r="D440" s="42" t="s">
        <v>15</v>
      </c>
      <c r="E440" s="43">
        <v>91.3</v>
      </c>
      <c r="F440" s="121">
        <v>-91.3</v>
      </c>
      <c r="G440" s="43">
        <f>E440+F440</f>
        <v>0</v>
      </c>
      <c r="H440" s="43">
        <v>195.3</v>
      </c>
      <c r="I440" s="43">
        <v>195.3</v>
      </c>
    </row>
    <row r="441" spans="1:9" ht="31.5">
      <c r="A441" s="45" t="s">
        <v>454</v>
      </c>
      <c r="B441" s="42" t="s">
        <v>80</v>
      </c>
      <c r="C441" s="42" t="s">
        <v>183</v>
      </c>
      <c r="D441" s="42" t="s">
        <v>8</v>
      </c>
      <c r="E441" s="43">
        <v>104</v>
      </c>
      <c r="F441" s="121">
        <v>0</v>
      </c>
      <c r="G441" s="43">
        <f>E441+F441</f>
        <v>104</v>
      </c>
      <c r="H441" s="43">
        <v>0</v>
      </c>
      <c r="I441" s="43">
        <v>0</v>
      </c>
    </row>
    <row r="442" spans="1:9" ht="31.5">
      <c r="A442" s="45" t="s">
        <v>10</v>
      </c>
      <c r="B442" s="42" t="s">
        <v>80</v>
      </c>
      <c r="C442" s="42" t="s">
        <v>183</v>
      </c>
      <c r="D442" s="42" t="s">
        <v>11</v>
      </c>
      <c r="E442" s="43">
        <v>4298</v>
      </c>
      <c r="F442" s="121">
        <v>91.3</v>
      </c>
      <c r="G442" s="43">
        <f>E442+F442</f>
        <v>4389.3</v>
      </c>
      <c r="H442" s="43">
        <v>4298</v>
      </c>
      <c r="I442" s="43">
        <v>4298</v>
      </c>
    </row>
    <row r="443" spans="1:9" ht="31.5">
      <c r="A443" s="10" t="s">
        <v>67</v>
      </c>
      <c r="B443" s="81" t="s">
        <v>80</v>
      </c>
      <c r="C443" s="11" t="s">
        <v>118</v>
      </c>
      <c r="D443" s="11" t="s">
        <v>0</v>
      </c>
      <c r="E443" s="12">
        <f>E444+E452+E448</f>
        <v>78228.8</v>
      </c>
      <c r="F443" s="12">
        <f>F444+F452+F448</f>
        <v>3515.7999999999997</v>
      </c>
      <c r="G443" s="12">
        <f>G444+G452+G448</f>
        <v>81744.6</v>
      </c>
      <c r="H443" s="12">
        <f>H444+H452+H448</f>
        <v>76047</v>
      </c>
      <c r="I443" s="12">
        <f>I444+I452+I448</f>
        <v>76705.4</v>
      </c>
    </row>
    <row r="444" spans="1:9" ht="31.5">
      <c r="A444" s="40" t="s">
        <v>13</v>
      </c>
      <c r="B444" s="42" t="s">
        <v>80</v>
      </c>
      <c r="C444" s="42" t="s">
        <v>119</v>
      </c>
      <c r="D444" s="42"/>
      <c r="E444" s="43">
        <f>E445+E446+E447</f>
        <v>35890.7</v>
      </c>
      <c r="F444" s="43">
        <f>F445+F446+F447</f>
        <v>2929.7</v>
      </c>
      <c r="G444" s="43">
        <f>G445+G446+G447</f>
        <v>38820.399999999994</v>
      </c>
      <c r="H444" s="43">
        <f>H445+H446+H447</f>
        <v>33949.3</v>
      </c>
      <c r="I444" s="43">
        <f>I445+I446+I447</f>
        <v>34038.9</v>
      </c>
    </row>
    <row r="445" spans="1:9" ht="63">
      <c r="A445" s="40" t="s">
        <v>14</v>
      </c>
      <c r="B445" s="42" t="s">
        <v>80</v>
      </c>
      <c r="C445" s="42" t="s">
        <v>119</v>
      </c>
      <c r="D445" s="42" t="s">
        <v>15</v>
      </c>
      <c r="E445" s="43">
        <f>27710.7+0.8</f>
        <v>27711.5</v>
      </c>
      <c r="F445" s="121">
        <v>3245.2</v>
      </c>
      <c r="G445" s="37">
        <f>E445+F445</f>
        <v>30956.7</v>
      </c>
      <c r="H445" s="43">
        <v>27728</v>
      </c>
      <c r="I445" s="43">
        <v>27676.2</v>
      </c>
    </row>
    <row r="446" spans="1:9" ht="47.25">
      <c r="A446" s="45" t="s">
        <v>449</v>
      </c>
      <c r="B446" s="42" t="s">
        <v>80</v>
      </c>
      <c r="C446" s="42" t="s">
        <v>119</v>
      </c>
      <c r="D446" s="42" t="s">
        <v>8</v>
      </c>
      <c r="E446" s="43">
        <v>7873</v>
      </c>
      <c r="F446" s="121">
        <f>-119.5-3.5-196</f>
        <v>-319</v>
      </c>
      <c r="G446" s="43">
        <f>E446+F446</f>
        <v>7554</v>
      </c>
      <c r="H446" s="43">
        <v>6002.8</v>
      </c>
      <c r="I446" s="43">
        <v>6144.2</v>
      </c>
    </row>
    <row r="447" spans="1:9" ht="15.75">
      <c r="A447" s="45" t="s">
        <v>9</v>
      </c>
      <c r="B447" s="42" t="s">
        <v>80</v>
      </c>
      <c r="C447" s="42" t="s">
        <v>119</v>
      </c>
      <c r="D447" s="42" t="s">
        <v>12</v>
      </c>
      <c r="E447" s="43">
        <v>306.2</v>
      </c>
      <c r="F447" s="121">
        <v>3.5</v>
      </c>
      <c r="G447" s="37">
        <f>E447+F447</f>
        <v>309.7</v>
      </c>
      <c r="H447" s="43">
        <v>218.5</v>
      </c>
      <c r="I447" s="43">
        <v>218.5</v>
      </c>
    </row>
    <row r="448" spans="1:9" ht="78.75">
      <c r="A448" s="45" t="s">
        <v>259</v>
      </c>
      <c r="B448" s="42" t="s">
        <v>80</v>
      </c>
      <c r="C448" s="42" t="s">
        <v>324</v>
      </c>
      <c r="D448" s="42"/>
      <c r="E448" s="43">
        <f>E449+E450+E451</f>
        <v>7782.6</v>
      </c>
      <c r="F448" s="43">
        <f>F449+F450+F451</f>
        <v>0</v>
      </c>
      <c r="G448" s="43">
        <f>G449+G450+G451</f>
        <v>7782.6</v>
      </c>
      <c r="H448" s="43">
        <f>H449+H450+H451</f>
        <v>8023.200000000001</v>
      </c>
      <c r="I448" s="43">
        <f>I449+I450+I451</f>
        <v>8329</v>
      </c>
    </row>
    <row r="449" spans="1:9" ht="63">
      <c r="A449" s="40" t="s">
        <v>14</v>
      </c>
      <c r="B449" s="42" t="s">
        <v>80</v>
      </c>
      <c r="C449" s="42" t="s">
        <v>324</v>
      </c>
      <c r="D449" s="42" t="s">
        <v>15</v>
      </c>
      <c r="E449" s="43">
        <f>6683.8-223.4</f>
        <v>6460.400000000001</v>
      </c>
      <c r="F449" s="139"/>
      <c r="G449" s="37">
        <f>E449+F449</f>
        <v>6460.400000000001</v>
      </c>
      <c r="H449" s="43">
        <f>6683.8-59</f>
        <v>6624.8</v>
      </c>
      <c r="I449" s="43">
        <f>6683.8-60.5</f>
        <v>6623.3</v>
      </c>
    </row>
    <row r="450" spans="1:9" ht="47.25">
      <c r="A450" s="45" t="s">
        <v>449</v>
      </c>
      <c r="B450" s="42" t="s">
        <v>80</v>
      </c>
      <c r="C450" s="42" t="s">
        <v>324</v>
      </c>
      <c r="D450" s="42" t="s">
        <v>8</v>
      </c>
      <c r="E450" s="43">
        <v>1302.1</v>
      </c>
      <c r="F450" s="139"/>
      <c r="G450" s="37">
        <f>E450+F450</f>
        <v>1302.1</v>
      </c>
      <c r="H450" s="43">
        <v>1378.3</v>
      </c>
      <c r="I450" s="43">
        <v>1685.6</v>
      </c>
    </row>
    <row r="451" spans="1:9" ht="15.75">
      <c r="A451" s="40" t="s">
        <v>27</v>
      </c>
      <c r="B451" s="42" t="s">
        <v>80</v>
      </c>
      <c r="C451" s="42" t="s">
        <v>324</v>
      </c>
      <c r="D451" s="42" t="s">
        <v>16</v>
      </c>
      <c r="E451" s="43">
        <v>20.1</v>
      </c>
      <c r="F451" s="139"/>
      <c r="G451" s="37">
        <f>E451+F451</f>
        <v>20.1</v>
      </c>
      <c r="H451" s="43">
        <v>20.1</v>
      </c>
      <c r="I451" s="43">
        <v>20.1</v>
      </c>
    </row>
    <row r="452" spans="1:9" ht="31.5">
      <c r="A452" s="40" t="s">
        <v>53</v>
      </c>
      <c r="B452" s="42" t="s">
        <v>80</v>
      </c>
      <c r="C452" s="42" t="s">
        <v>126</v>
      </c>
      <c r="D452" s="42"/>
      <c r="E452" s="43">
        <f>E453+E454</f>
        <v>34555.5</v>
      </c>
      <c r="F452" s="47">
        <f>F453+F454</f>
        <v>586.1</v>
      </c>
      <c r="G452" s="43">
        <f>G453+G454</f>
        <v>35141.6</v>
      </c>
      <c r="H452" s="43">
        <f>H453+H454</f>
        <v>34074.5</v>
      </c>
      <c r="I452" s="43">
        <f>I453+I454</f>
        <v>34337.5</v>
      </c>
    </row>
    <row r="453" spans="1:9" ht="63">
      <c r="A453" s="40" t="s">
        <v>14</v>
      </c>
      <c r="B453" s="42" t="s">
        <v>80</v>
      </c>
      <c r="C453" s="42" t="s">
        <v>120</v>
      </c>
      <c r="D453" s="42" t="s">
        <v>15</v>
      </c>
      <c r="E453" s="43">
        <v>33216.8</v>
      </c>
      <c r="F453" s="140">
        <f>-28+148+388.1</f>
        <v>508.1</v>
      </c>
      <c r="G453" s="43">
        <f>E453+F453</f>
        <v>33724.9</v>
      </c>
      <c r="H453" s="43">
        <v>33235.7</v>
      </c>
      <c r="I453" s="43">
        <v>33218.4</v>
      </c>
    </row>
    <row r="454" spans="1:9" ht="47.25">
      <c r="A454" s="45" t="s">
        <v>449</v>
      </c>
      <c r="B454" s="42" t="s">
        <v>80</v>
      </c>
      <c r="C454" s="42" t="s">
        <v>120</v>
      </c>
      <c r="D454" s="42" t="s">
        <v>8</v>
      </c>
      <c r="E454" s="43">
        <v>1338.7</v>
      </c>
      <c r="F454" s="140">
        <f>28+50</f>
        <v>78</v>
      </c>
      <c r="G454" s="43">
        <f>E454+F454</f>
        <v>1416.7</v>
      </c>
      <c r="H454" s="43">
        <v>838.8</v>
      </c>
      <c r="I454" s="43">
        <v>1119.1</v>
      </c>
    </row>
    <row r="455" spans="1:9" ht="15.75">
      <c r="A455" s="76" t="s">
        <v>313</v>
      </c>
      <c r="B455" s="71" t="s">
        <v>80</v>
      </c>
      <c r="C455" s="71" t="s">
        <v>168</v>
      </c>
      <c r="D455" s="71" t="s">
        <v>0</v>
      </c>
      <c r="E455" s="82">
        <f aca="true" t="shared" si="9" ref="E455:H457">E456</f>
        <v>887.5</v>
      </c>
      <c r="F455" s="82">
        <f t="shared" si="9"/>
        <v>160.9</v>
      </c>
      <c r="G455" s="82">
        <f t="shared" si="9"/>
        <v>1048.4</v>
      </c>
      <c r="H455" s="82">
        <f t="shared" si="9"/>
        <v>744.9</v>
      </c>
      <c r="I455" s="82">
        <f>I456</f>
        <v>643.8</v>
      </c>
    </row>
    <row r="456" spans="1:9" ht="47.25">
      <c r="A456" s="10" t="s">
        <v>315</v>
      </c>
      <c r="B456" s="81" t="s">
        <v>80</v>
      </c>
      <c r="C456" s="11" t="s">
        <v>129</v>
      </c>
      <c r="D456" s="11" t="s">
        <v>0</v>
      </c>
      <c r="E456" s="12">
        <f t="shared" si="9"/>
        <v>887.5</v>
      </c>
      <c r="F456" s="12">
        <f t="shared" si="9"/>
        <v>160.9</v>
      </c>
      <c r="G456" s="12">
        <f t="shared" si="9"/>
        <v>1048.4</v>
      </c>
      <c r="H456" s="12">
        <f t="shared" si="9"/>
        <v>744.9</v>
      </c>
      <c r="I456" s="12">
        <f>I457</f>
        <v>643.8</v>
      </c>
    </row>
    <row r="457" spans="1:9" ht="78.75">
      <c r="A457" s="41" t="s">
        <v>82</v>
      </c>
      <c r="B457" s="27" t="s">
        <v>80</v>
      </c>
      <c r="C457" s="35" t="s">
        <v>170</v>
      </c>
      <c r="D457" s="35"/>
      <c r="E457" s="59">
        <f t="shared" si="9"/>
        <v>887.5</v>
      </c>
      <c r="F457" s="59">
        <f t="shared" si="9"/>
        <v>160.9</v>
      </c>
      <c r="G457" s="59">
        <f t="shared" si="9"/>
        <v>1048.4</v>
      </c>
      <c r="H457" s="59">
        <f t="shared" si="9"/>
        <v>744.9</v>
      </c>
      <c r="I457" s="59">
        <f>I458</f>
        <v>643.8</v>
      </c>
    </row>
    <row r="458" spans="1:9" ht="15.75">
      <c r="A458" s="41" t="s">
        <v>27</v>
      </c>
      <c r="B458" s="27" t="s">
        <v>80</v>
      </c>
      <c r="C458" s="35" t="s">
        <v>170</v>
      </c>
      <c r="D458" s="35" t="s">
        <v>16</v>
      </c>
      <c r="E458" s="59">
        <v>887.5</v>
      </c>
      <c r="F458" s="127">
        <v>160.9</v>
      </c>
      <c r="G458" s="37">
        <f>E458+F458</f>
        <v>1048.4</v>
      </c>
      <c r="H458" s="59">
        <v>744.9</v>
      </c>
      <c r="I458" s="59">
        <v>643.8</v>
      </c>
    </row>
    <row r="459" spans="1:9" ht="15.75">
      <c r="A459" s="32" t="s">
        <v>83</v>
      </c>
      <c r="B459" s="33" t="s">
        <v>84</v>
      </c>
      <c r="C459" s="75"/>
      <c r="D459" s="79"/>
      <c r="E459" s="31">
        <f>E467+E473+E460</f>
        <v>118754.8</v>
      </c>
      <c r="F459" s="131">
        <f>F467+F473+F460</f>
        <v>6053.8</v>
      </c>
      <c r="G459" s="31">
        <f>G467+G473+G460</f>
        <v>124808.60000000002</v>
      </c>
      <c r="H459" s="31">
        <f>H467+H473+H460</f>
        <v>64718.200000000004</v>
      </c>
      <c r="I459" s="31">
        <f>I467+I473+I460</f>
        <v>72724</v>
      </c>
    </row>
    <row r="460" spans="1:9" ht="31.5">
      <c r="A460" s="76" t="s">
        <v>297</v>
      </c>
      <c r="B460" s="72" t="s">
        <v>84</v>
      </c>
      <c r="C460" s="71" t="s">
        <v>173</v>
      </c>
      <c r="D460" s="71" t="s">
        <v>0</v>
      </c>
      <c r="E460" s="112">
        <f aca="true" t="shared" si="10" ref="E460:I464">E461</f>
        <v>735</v>
      </c>
      <c r="F460" s="77">
        <f>F461+F464</f>
        <v>2525.3</v>
      </c>
      <c r="G460" s="77">
        <f>G461+G464</f>
        <v>3260.3</v>
      </c>
      <c r="H460" s="112">
        <f t="shared" si="10"/>
        <v>0</v>
      </c>
      <c r="I460" s="112">
        <f t="shared" si="10"/>
        <v>0</v>
      </c>
    </row>
    <row r="461" spans="1:9" ht="31.5">
      <c r="A461" s="10" t="s">
        <v>299</v>
      </c>
      <c r="B461" s="78" t="s">
        <v>84</v>
      </c>
      <c r="C461" s="11" t="s">
        <v>179</v>
      </c>
      <c r="D461" s="11" t="s">
        <v>0</v>
      </c>
      <c r="E461" s="113">
        <f t="shared" si="10"/>
        <v>735</v>
      </c>
      <c r="F461" s="168">
        <f t="shared" si="10"/>
        <v>0</v>
      </c>
      <c r="G461" s="168">
        <f t="shared" si="10"/>
        <v>735</v>
      </c>
      <c r="H461" s="113">
        <f t="shared" si="10"/>
        <v>0</v>
      </c>
      <c r="I461" s="113">
        <f t="shared" si="10"/>
        <v>0</v>
      </c>
    </row>
    <row r="462" spans="1:9" ht="31.5">
      <c r="A462" s="40" t="s">
        <v>46</v>
      </c>
      <c r="B462" s="42" t="s">
        <v>84</v>
      </c>
      <c r="C462" s="15" t="s">
        <v>180</v>
      </c>
      <c r="D462" s="21"/>
      <c r="E462" s="114">
        <f t="shared" si="10"/>
        <v>735</v>
      </c>
      <c r="F462" s="121">
        <f t="shared" si="10"/>
        <v>0</v>
      </c>
      <c r="G462" s="121">
        <f t="shared" si="10"/>
        <v>735</v>
      </c>
      <c r="H462" s="114">
        <f t="shared" si="10"/>
        <v>0</v>
      </c>
      <c r="I462" s="114">
        <f t="shared" si="10"/>
        <v>0</v>
      </c>
    </row>
    <row r="463" spans="1:9" ht="47.25">
      <c r="A463" s="45" t="s">
        <v>449</v>
      </c>
      <c r="B463" s="42" t="s">
        <v>84</v>
      </c>
      <c r="C463" s="15" t="s">
        <v>180</v>
      </c>
      <c r="D463" s="42" t="s">
        <v>8</v>
      </c>
      <c r="E463" s="114">
        <v>735</v>
      </c>
      <c r="F463" s="126"/>
      <c r="G463" s="121">
        <v>735</v>
      </c>
      <c r="H463" s="114">
        <v>0</v>
      </c>
      <c r="I463" s="114">
        <v>0</v>
      </c>
    </row>
    <row r="464" spans="1:9" ht="31.5">
      <c r="A464" s="10" t="s">
        <v>318</v>
      </c>
      <c r="B464" s="78" t="s">
        <v>84</v>
      </c>
      <c r="C464" s="11" t="s">
        <v>215</v>
      </c>
      <c r="D464" s="11" t="s">
        <v>0</v>
      </c>
      <c r="E464" s="113">
        <f t="shared" si="10"/>
        <v>0</v>
      </c>
      <c r="F464" s="168">
        <f t="shared" si="10"/>
        <v>2525.3</v>
      </c>
      <c r="G464" s="168">
        <f t="shared" si="10"/>
        <v>2525.3</v>
      </c>
      <c r="H464" s="113">
        <f t="shared" si="10"/>
        <v>0</v>
      </c>
      <c r="I464" s="113">
        <f t="shared" si="10"/>
        <v>0</v>
      </c>
    </row>
    <row r="465" spans="1:9" ht="63">
      <c r="A465" s="40" t="s">
        <v>466</v>
      </c>
      <c r="B465" s="42" t="s">
        <v>84</v>
      </c>
      <c r="C465" s="15" t="s">
        <v>440</v>
      </c>
      <c r="D465" s="21"/>
      <c r="E465" s="114">
        <f>E466</f>
        <v>0</v>
      </c>
      <c r="F465" s="140">
        <f>F466</f>
        <v>2525.3</v>
      </c>
      <c r="G465" s="140">
        <f>G466</f>
        <v>2525.3</v>
      </c>
      <c r="H465" s="140">
        <f>H466</f>
        <v>0</v>
      </c>
      <c r="I465" s="140">
        <f>I466</f>
        <v>0</v>
      </c>
    </row>
    <row r="466" spans="1:9" ht="31.5">
      <c r="A466" s="45" t="s">
        <v>474</v>
      </c>
      <c r="B466" s="42" t="s">
        <v>84</v>
      </c>
      <c r="C466" s="15" t="s">
        <v>440</v>
      </c>
      <c r="D466" s="42" t="s">
        <v>43</v>
      </c>
      <c r="E466" s="114">
        <v>0</v>
      </c>
      <c r="F466" s="140">
        <v>2525.3</v>
      </c>
      <c r="G466" s="121">
        <f>E466+F466</f>
        <v>2525.3</v>
      </c>
      <c r="H466" s="114">
        <v>0</v>
      </c>
      <c r="I466" s="114">
        <v>0</v>
      </c>
    </row>
    <row r="467" spans="1:9" ht="31.5">
      <c r="A467" s="76" t="s">
        <v>306</v>
      </c>
      <c r="B467" s="159" t="s">
        <v>84</v>
      </c>
      <c r="C467" s="71" t="s">
        <v>147</v>
      </c>
      <c r="D467" s="71" t="s">
        <v>0</v>
      </c>
      <c r="E467" s="77">
        <f aca="true" t="shared" si="11" ref="E467:I468">E468</f>
        <v>21374</v>
      </c>
      <c r="F467" s="112">
        <f t="shared" si="11"/>
        <v>3315.1</v>
      </c>
      <c r="G467" s="77">
        <f t="shared" si="11"/>
        <v>24689.1</v>
      </c>
      <c r="H467" s="77">
        <f t="shared" si="11"/>
        <v>17086.4</v>
      </c>
      <c r="I467" s="77">
        <f t="shared" si="11"/>
        <v>17518.6</v>
      </c>
    </row>
    <row r="468" spans="1:9" ht="31.5">
      <c r="A468" s="10" t="s">
        <v>323</v>
      </c>
      <c r="B468" s="78" t="s">
        <v>84</v>
      </c>
      <c r="C468" s="11" t="s">
        <v>148</v>
      </c>
      <c r="D468" s="11" t="s">
        <v>0</v>
      </c>
      <c r="E468" s="12">
        <f t="shared" si="11"/>
        <v>21374</v>
      </c>
      <c r="F468" s="12">
        <f t="shared" si="11"/>
        <v>3315.1</v>
      </c>
      <c r="G468" s="12">
        <f t="shared" si="11"/>
        <v>24689.1</v>
      </c>
      <c r="H468" s="12">
        <f t="shared" si="11"/>
        <v>17086.4</v>
      </c>
      <c r="I468" s="12">
        <f t="shared" si="11"/>
        <v>17518.6</v>
      </c>
    </row>
    <row r="469" spans="1:9" ht="31.5">
      <c r="A469" s="53" t="s">
        <v>13</v>
      </c>
      <c r="B469" s="42" t="s">
        <v>84</v>
      </c>
      <c r="C469" s="15" t="s">
        <v>149</v>
      </c>
      <c r="D469" s="21"/>
      <c r="E469" s="20">
        <f>SUM(E470:E472)</f>
        <v>21374</v>
      </c>
      <c r="F469" s="20">
        <f>SUM(F470:F472)</f>
        <v>3315.1</v>
      </c>
      <c r="G469" s="20">
        <f>SUM(G470:G472)</f>
        <v>24689.1</v>
      </c>
      <c r="H469" s="20">
        <f>SUM(H470:H472)</f>
        <v>17086.4</v>
      </c>
      <c r="I469" s="20">
        <f>SUM(I470:I472)</f>
        <v>17518.6</v>
      </c>
    </row>
    <row r="470" spans="1:9" ht="63">
      <c r="A470" s="52" t="s">
        <v>14</v>
      </c>
      <c r="B470" s="42" t="s">
        <v>84</v>
      </c>
      <c r="C470" s="15" t="s">
        <v>149</v>
      </c>
      <c r="D470" s="42" t="s">
        <v>15</v>
      </c>
      <c r="E470" s="20">
        <v>19945</v>
      </c>
      <c r="F470" s="121">
        <v>3315.1</v>
      </c>
      <c r="G470" s="20">
        <f>E470+F470</f>
        <v>23260.1</v>
      </c>
      <c r="H470" s="20">
        <v>17086.4</v>
      </c>
      <c r="I470" s="20">
        <v>17518.6</v>
      </c>
    </row>
    <row r="471" spans="1:9" ht="47.25">
      <c r="A471" s="45" t="s">
        <v>449</v>
      </c>
      <c r="B471" s="42" t="s">
        <v>84</v>
      </c>
      <c r="C471" s="15" t="s">
        <v>149</v>
      </c>
      <c r="D471" s="42" t="s">
        <v>8</v>
      </c>
      <c r="E471" s="20">
        <f>2137.7-735</f>
        <v>1402.6999999999998</v>
      </c>
      <c r="F471" s="139"/>
      <c r="G471" s="20">
        <f>2137.7-735</f>
        <v>1402.6999999999998</v>
      </c>
      <c r="H471" s="20">
        <v>0</v>
      </c>
      <c r="I471" s="20">
        <v>0</v>
      </c>
    </row>
    <row r="472" spans="1:9" ht="15.75">
      <c r="A472" s="45" t="s">
        <v>9</v>
      </c>
      <c r="B472" s="42" t="s">
        <v>84</v>
      </c>
      <c r="C472" s="15" t="s">
        <v>149</v>
      </c>
      <c r="D472" s="42" t="s">
        <v>12</v>
      </c>
      <c r="E472" s="20">
        <v>26.3</v>
      </c>
      <c r="F472" s="139"/>
      <c r="G472" s="20">
        <v>26.3</v>
      </c>
      <c r="H472" s="20">
        <v>0</v>
      </c>
      <c r="I472" s="20">
        <v>0</v>
      </c>
    </row>
    <row r="473" spans="1:9" ht="15.75">
      <c r="A473" s="70" t="s">
        <v>30</v>
      </c>
      <c r="B473" s="72" t="s">
        <v>84</v>
      </c>
      <c r="C473" s="72" t="s">
        <v>96</v>
      </c>
      <c r="D473" s="72" t="s">
        <v>0</v>
      </c>
      <c r="E473" s="73">
        <f>E479+E481+E483+E485+E487+E489+E474+E499+E491+E493+E497+E477+E495</f>
        <v>96645.8</v>
      </c>
      <c r="F473" s="73">
        <f>F479+F481+F483+F485+F487+F489+F474+F499+F491+F493+F497+F477+F495</f>
        <v>213.4000000000001</v>
      </c>
      <c r="G473" s="73">
        <f>G479+G481+G483+G485+G487+G489+G474+G499+G491+G493+G497+G477+G495</f>
        <v>96859.20000000001</v>
      </c>
      <c r="H473" s="73">
        <f>H479+H481+H483+H485+H487+H489+H474+H499+H491+H493+H497+H477+H495</f>
        <v>47631.8</v>
      </c>
      <c r="I473" s="73">
        <f>I479+I481+I483+I485+I487+I489+I474+I499+I491+I493+I497+I477+I495</f>
        <v>55205.4</v>
      </c>
    </row>
    <row r="474" spans="1:9" ht="31.5">
      <c r="A474" s="22" t="s">
        <v>60</v>
      </c>
      <c r="B474" s="27" t="s">
        <v>84</v>
      </c>
      <c r="C474" s="42" t="s">
        <v>103</v>
      </c>
      <c r="D474" s="60"/>
      <c r="E474" s="43">
        <f>E476+E475</f>
        <v>42803.1</v>
      </c>
      <c r="F474" s="133">
        <f>F476+F475</f>
        <v>-2100</v>
      </c>
      <c r="G474" s="43">
        <f>G476+G475</f>
        <v>40703.1</v>
      </c>
      <c r="H474" s="43">
        <f>H476+H475</f>
        <v>10725</v>
      </c>
      <c r="I474" s="43">
        <f>I476+I475</f>
        <v>0</v>
      </c>
    </row>
    <row r="475" spans="1:9" ht="31.5">
      <c r="A475" s="45" t="s">
        <v>454</v>
      </c>
      <c r="B475" s="27" t="s">
        <v>84</v>
      </c>
      <c r="C475" s="42" t="s">
        <v>103</v>
      </c>
      <c r="D475" s="42" t="s">
        <v>8</v>
      </c>
      <c r="E475" s="43">
        <v>5595.9</v>
      </c>
      <c r="F475" s="114">
        <v>900</v>
      </c>
      <c r="G475" s="43">
        <f>E475+F475</f>
        <v>6495.9</v>
      </c>
      <c r="H475" s="43">
        <v>5000</v>
      </c>
      <c r="I475" s="43">
        <v>0</v>
      </c>
    </row>
    <row r="476" spans="1:9" ht="15.75">
      <c r="A476" s="46" t="s">
        <v>9</v>
      </c>
      <c r="B476" s="42" t="s">
        <v>84</v>
      </c>
      <c r="C476" s="42" t="s">
        <v>103</v>
      </c>
      <c r="D476" s="42" t="s">
        <v>12</v>
      </c>
      <c r="E476" s="43">
        <v>37207.2</v>
      </c>
      <c r="F476" s="114">
        <f>-3000</f>
        <v>-3000</v>
      </c>
      <c r="G476" s="43">
        <f>E476+F476</f>
        <v>34207.2</v>
      </c>
      <c r="H476" s="43">
        <v>5725</v>
      </c>
      <c r="I476" s="43">
        <v>0</v>
      </c>
    </row>
    <row r="477" spans="1:9" ht="63">
      <c r="A477" s="22" t="s">
        <v>395</v>
      </c>
      <c r="B477" s="42" t="s">
        <v>84</v>
      </c>
      <c r="C477" s="42" t="s">
        <v>396</v>
      </c>
      <c r="D477" s="21"/>
      <c r="E477" s="43">
        <f>E478</f>
        <v>34.1</v>
      </c>
      <c r="F477" s="133">
        <f>F478</f>
        <v>0</v>
      </c>
      <c r="G477" s="43">
        <f>G478</f>
        <v>34.1</v>
      </c>
      <c r="H477" s="43">
        <f>H478</f>
        <v>0</v>
      </c>
      <c r="I477" s="43">
        <f>I478</f>
        <v>0</v>
      </c>
    </row>
    <row r="478" spans="1:9" ht="47.25">
      <c r="A478" s="45" t="s">
        <v>449</v>
      </c>
      <c r="B478" s="42" t="s">
        <v>84</v>
      </c>
      <c r="C478" s="42" t="s">
        <v>396</v>
      </c>
      <c r="D478" s="21" t="s">
        <v>8</v>
      </c>
      <c r="E478" s="43">
        <v>34.1</v>
      </c>
      <c r="F478" s="114"/>
      <c r="G478" s="43">
        <f>E478+F478</f>
        <v>34.1</v>
      </c>
      <c r="H478" s="43">
        <v>0</v>
      </c>
      <c r="I478" s="43">
        <v>0</v>
      </c>
    </row>
    <row r="479" spans="1:9" ht="94.5">
      <c r="A479" s="66" t="s">
        <v>191</v>
      </c>
      <c r="B479" s="42" t="s">
        <v>84</v>
      </c>
      <c r="C479" s="155" t="s">
        <v>98</v>
      </c>
      <c r="D479" s="156"/>
      <c r="E479" s="47">
        <f>E480</f>
        <v>1</v>
      </c>
      <c r="F479" s="141">
        <f>F480</f>
        <v>0</v>
      </c>
      <c r="G479" s="47">
        <f>G480</f>
        <v>1</v>
      </c>
      <c r="H479" s="47">
        <f>H480</f>
        <v>1</v>
      </c>
      <c r="I479" s="47">
        <f>I480</f>
        <v>1</v>
      </c>
    </row>
    <row r="480" spans="1:9" ht="47.25">
      <c r="A480" s="45" t="s">
        <v>449</v>
      </c>
      <c r="B480" s="42" t="s">
        <v>84</v>
      </c>
      <c r="C480" s="155" t="s">
        <v>98</v>
      </c>
      <c r="D480" s="156">
        <v>200</v>
      </c>
      <c r="E480" s="47">
        <v>1</v>
      </c>
      <c r="F480" s="139"/>
      <c r="G480" s="47">
        <f>E480+F480</f>
        <v>1</v>
      </c>
      <c r="H480" s="47">
        <v>1</v>
      </c>
      <c r="I480" s="47">
        <v>1</v>
      </c>
    </row>
    <row r="481" spans="1:9" ht="173.25">
      <c r="A481" s="66" t="s">
        <v>192</v>
      </c>
      <c r="B481" s="42" t="s">
        <v>84</v>
      </c>
      <c r="C481" s="155" t="s">
        <v>99</v>
      </c>
      <c r="D481" s="156"/>
      <c r="E481" s="47">
        <f>E482</f>
        <v>3</v>
      </c>
      <c r="F481" s="141">
        <f>F482</f>
        <v>0</v>
      </c>
      <c r="G481" s="47">
        <f>G482</f>
        <v>3</v>
      </c>
      <c r="H481" s="47">
        <f>H482</f>
        <v>3</v>
      </c>
      <c r="I481" s="47">
        <f>I482</f>
        <v>3</v>
      </c>
    </row>
    <row r="482" spans="1:9" ht="47.25">
      <c r="A482" s="45" t="s">
        <v>449</v>
      </c>
      <c r="B482" s="42" t="s">
        <v>84</v>
      </c>
      <c r="C482" s="155" t="s">
        <v>99</v>
      </c>
      <c r="D482" s="156">
        <v>200</v>
      </c>
      <c r="E482" s="47">
        <v>3</v>
      </c>
      <c r="F482" s="139"/>
      <c r="G482" s="47">
        <f>E482+F482</f>
        <v>3</v>
      </c>
      <c r="H482" s="47">
        <v>3</v>
      </c>
      <c r="I482" s="47">
        <v>3</v>
      </c>
    </row>
    <row r="483" spans="1:9" ht="31.5">
      <c r="A483" s="22" t="s">
        <v>44</v>
      </c>
      <c r="B483" s="42" t="s">
        <v>84</v>
      </c>
      <c r="C483" s="155" t="s">
        <v>100</v>
      </c>
      <c r="D483" s="48"/>
      <c r="E483" s="47">
        <f>E484</f>
        <v>1323.7</v>
      </c>
      <c r="F483" s="141">
        <f>F484</f>
        <v>0</v>
      </c>
      <c r="G483" s="47">
        <f>G484</f>
        <v>1323.7</v>
      </c>
      <c r="H483" s="47">
        <f>H484</f>
        <v>1301.5</v>
      </c>
      <c r="I483" s="47">
        <f>I484</f>
        <v>1276.3</v>
      </c>
    </row>
    <row r="484" spans="1:9" ht="15.75">
      <c r="A484" s="46" t="s">
        <v>42</v>
      </c>
      <c r="B484" s="42" t="s">
        <v>84</v>
      </c>
      <c r="C484" s="155" t="s">
        <v>100</v>
      </c>
      <c r="D484" s="42" t="s">
        <v>43</v>
      </c>
      <c r="E484" s="47">
        <v>1323.7</v>
      </c>
      <c r="F484" s="139"/>
      <c r="G484" s="47">
        <f>E484+F484</f>
        <v>1323.7</v>
      </c>
      <c r="H484" s="47">
        <v>1301.5</v>
      </c>
      <c r="I484" s="47">
        <v>1276.3</v>
      </c>
    </row>
    <row r="485" spans="1:9" ht="78.75">
      <c r="A485" s="51" t="s">
        <v>250</v>
      </c>
      <c r="B485" s="42" t="s">
        <v>84</v>
      </c>
      <c r="C485" s="155" t="s">
        <v>101</v>
      </c>
      <c r="D485" s="49"/>
      <c r="E485" s="47">
        <f>E486</f>
        <v>134.2</v>
      </c>
      <c r="F485" s="141">
        <f>F486</f>
        <v>0</v>
      </c>
      <c r="G485" s="47">
        <f>G486</f>
        <v>134.2</v>
      </c>
      <c r="H485" s="47">
        <f>H486</f>
        <v>137.3</v>
      </c>
      <c r="I485" s="47">
        <f>I486</f>
        <v>141.1</v>
      </c>
    </row>
    <row r="486" spans="1:9" ht="15.75">
      <c r="A486" s="46" t="s">
        <v>42</v>
      </c>
      <c r="B486" s="42" t="s">
        <v>84</v>
      </c>
      <c r="C486" s="155" t="s">
        <v>101</v>
      </c>
      <c r="D486" s="42" t="s">
        <v>43</v>
      </c>
      <c r="E486" s="47">
        <v>134.2</v>
      </c>
      <c r="F486" s="139"/>
      <c r="G486" s="47">
        <f>E486+F486</f>
        <v>134.2</v>
      </c>
      <c r="H486" s="47">
        <v>137.3</v>
      </c>
      <c r="I486" s="47">
        <v>141.1</v>
      </c>
    </row>
    <row r="487" spans="1:9" ht="105">
      <c r="A487" s="83" t="s">
        <v>222</v>
      </c>
      <c r="B487" s="42" t="s">
        <v>84</v>
      </c>
      <c r="C487" s="155" t="s">
        <v>102</v>
      </c>
      <c r="D487" s="49"/>
      <c r="E487" s="47">
        <f>E488</f>
        <v>7</v>
      </c>
      <c r="F487" s="133">
        <f>F488</f>
        <v>0</v>
      </c>
      <c r="G487" s="47">
        <f>G488</f>
        <v>7</v>
      </c>
      <c r="H487" s="47">
        <f>H488</f>
        <v>7</v>
      </c>
      <c r="I487" s="47">
        <f>I488</f>
        <v>7</v>
      </c>
    </row>
    <row r="488" spans="1:9" ht="47.25">
      <c r="A488" s="45" t="s">
        <v>449</v>
      </c>
      <c r="B488" s="42" t="s">
        <v>84</v>
      </c>
      <c r="C488" s="155" t="s">
        <v>102</v>
      </c>
      <c r="D488" s="42" t="s">
        <v>8</v>
      </c>
      <c r="E488" s="47">
        <f>3.5+3.5</f>
        <v>7</v>
      </c>
      <c r="F488" s="114">
        <v>0</v>
      </c>
      <c r="G488" s="47">
        <f>E488+F488</f>
        <v>7</v>
      </c>
      <c r="H488" s="47">
        <f>3.5+3.5</f>
        <v>7</v>
      </c>
      <c r="I488" s="47">
        <f>3.5+3.5</f>
        <v>7</v>
      </c>
    </row>
    <row r="489" spans="1:9" ht="31.5">
      <c r="A489" s="22" t="s">
        <v>85</v>
      </c>
      <c r="B489" s="42" t="s">
        <v>84</v>
      </c>
      <c r="C489" s="42" t="s">
        <v>97</v>
      </c>
      <c r="D489" s="42" t="s">
        <v>0</v>
      </c>
      <c r="E489" s="47">
        <f>E490</f>
        <v>17520.1</v>
      </c>
      <c r="F489" s="133">
        <f>F490</f>
        <v>0</v>
      </c>
      <c r="G489" s="47">
        <f>G490</f>
        <v>17520.1</v>
      </c>
      <c r="H489" s="47">
        <f>H490</f>
        <v>13432.6</v>
      </c>
      <c r="I489" s="47">
        <f>I490</f>
        <v>13350</v>
      </c>
    </row>
    <row r="490" spans="1:9" ht="15.75">
      <c r="A490" s="46" t="s">
        <v>42</v>
      </c>
      <c r="B490" s="42" t="s">
        <v>84</v>
      </c>
      <c r="C490" s="42" t="s">
        <v>97</v>
      </c>
      <c r="D490" s="42" t="s">
        <v>43</v>
      </c>
      <c r="E490" s="47">
        <f>3400+14120.1</f>
        <v>17520.1</v>
      </c>
      <c r="F490" s="114"/>
      <c r="G490" s="47">
        <f>E490+F490</f>
        <v>17520.1</v>
      </c>
      <c r="H490" s="47">
        <f>3000+10432.6</f>
        <v>13432.6</v>
      </c>
      <c r="I490" s="47">
        <f>3000+10350</f>
        <v>13350</v>
      </c>
    </row>
    <row r="491" spans="1:9" ht="47.25">
      <c r="A491" s="46" t="s">
        <v>379</v>
      </c>
      <c r="B491" s="42" t="s">
        <v>84</v>
      </c>
      <c r="C491" s="42" t="s">
        <v>326</v>
      </c>
      <c r="D491" s="42"/>
      <c r="E491" s="47">
        <f>E492</f>
        <v>1762.6</v>
      </c>
      <c r="F491" s="133">
        <f>F492</f>
        <v>0</v>
      </c>
      <c r="G491" s="47">
        <f>G492</f>
        <v>1762.6</v>
      </c>
      <c r="H491" s="47">
        <f>H492</f>
        <v>2065.6</v>
      </c>
      <c r="I491" s="47">
        <f>I492</f>
        <v>2148.2</v>
      </c>
    </row>
    <row r="492" spans="1:9" ht="15.75">
      <c r="A492" s="46" t="s">
        <v>42</v>
      </c>
      <c r="B492" s="42" t="s">
        <v>84</v>
      </c>
      <c r="C492" s="42" t="s">
        <v>326</v>
      </c>
      <c r="D492" s="42" t="s">
        <v>43</v>
      </c>
      <c r="E492" s="47">
        <v>1762.6</v>
      </c>
      <c r="F492" s="121"/>
      <c r="G492" s="47">
        <f>E492+F492</f>
        <v>1762.6</v>
      </c>
      <c r="H492" s="47">
        <v>2065.6</v>
      </c>
      <c r="I492" s="47">
        <v>2148.2</v>
      </c>
    </row>
    <row r="493" spans="1:9" ht="55.5" customHeight="1">
      <c r="A493" s="46" t="s">
        <v>380</v>
      </c>
      <c r="B493" s="42" t="s">
        <v>84</v>
      </c>
      <c r="C493" s="42" t="s">
        <v>327</v>
      </c>
      <c r="D493" s="42"/>
      <c r="E493" s="47">
        <f>E494</f>
        <v>2501.8</v>
      </c>
      <c r="F493" s="141">
        <f>F494</f>
        <v>0</v>
      </c>
      <c r="G493" s="47">
        <f>G494</f>
        <v>2501.8</v>
      </c>
      <c r="H493" s="47">
        <f>H494</f>
        <v>2501.8</v>
      </c>
      <c r="I493" s="47">
        <f>I494</f>
        <v>2501.8</v>
      </c>
    </row>
    <row r="494" spans="1:9" ht="15.75">
      <c r="A494" s="46" t="s">
        <v>42</v>
      </c>
      <c r="B494" s="42" t="s">
        <v>84</v>
      </c>
      <c r="C494" s="42" t="s">
        <v>327</v>
      </c>
      <c r="D494" s="42" t="s">
        <v>43</v>
      </c>
      <c r="E494" s="47">
        <v>2501.8</v>
      </c>
      <c r="F494" s="139"/>
      <c r="G494" s="47">
        <f>E494+F494</f>
        <v>2501.8</v>
      </c>
      <c r="H494" s="47">
        <v>2501.8</v>
      </c>
      <c r="I494" s="47">
        <v>2501.8</v>
      </c>
    </row>
    <row r="495" spans="1:9" ht="47.25">
      <c r="A495" s="46" t="s">
        <v>422</v>
      </c>
      <c r="B495" s="42" t="s">
        <v>84</v>
      </c>
      <c r="C495" s="42" t="s">
        <v>421</v>
      </c>
      <c r="D495" s="42"/>
      <c r="E495" s="47">
        <f>E496</f>
        <v>10555.2</v>
      </c>
      <c r="F495" s="47">
        <f>F496</f>
        <v>2313.4</v>
      </c>
      <c r="G495" s="47">
        <f>G496</f>
        <v>12868.6</v>
      </c>
      <c r="H495" s="47">
        <f>H496</f>
        <v>0</v>
      </c>
      <c r="I495" s="47">
        <f>I496</f>
        <v>0</v>
      </c>
    </row>
    <row r="496" spans="1:9" ht="15.75">
      <c r="A496" s="46" t="s">
        <v>42</v>
      </c>
      <c r="B496" s="42" t="s">
        <v>84</v>
      </c>
      <c r="C496" s="42" t="s">
        <v>421</v>
      </c>
      <c r="D496" s="42" t="s">
        <v>43</v>
      </c>
      <c r="E496" s="47">
        <v>10555.2</v>
      </c>
      <c r="F496" s="121">
        <f>1100+1213.4</f>
        <v>2313.4</v>
      </c>
      <c r="G496" s="47">
        <f>E496+F496</f>
        <v>12868.6</v>
      </c>
      <c r="H496" s="47">
        <v>0</v>
      </c>
      <c r="I496" s="47">
        <v>0</v>
      </c>
    </row>
    <row r="497" spans="1:9" ht="31.5">
      <c r="A497" s="98" t="s">
        <v>394</v>
      </c>
      <c r="B497" s="42">
        <v>992</v>
      </c>
      <c r="C497" s="56" t="s">
        <v>393</v>
      </c>
      <c r="D497" s="56"/>
      <c r="E497" s="43">
        <f>E498</f>
        <v>20000</v>
      </c>
      <c r="F497" s="133">
        <f>F498</f>
        <v>0</v>
      </c>
      <c r="G497" s="43">
        <f>G498</f>
        <v>20000</v>
      </c>
      <c r="H497" s="43">
        <f>H498</f>
        <v>0</v>
      </c>
      <c r="I497" s="43">
        <f>I498</f>
        <v>0</v>
      </c>
    </row>
    <row r="498" spans="1:9" ht="15.75">
      <c r="A498" s="125" t="s">
        <v>9</v>
      </c>
      <c r="B498" s="42">
        <v>992</v>
      </c>
      <c r="C498" s="56" t="s">
        <v>393</v>
      </c>
      <c r="D498" s="56">
        <v>800</v>
      </c>
      <c r="E498" s="43">
        <v>20000</v>
      </c>
      <c r="F498" s="114"/>
      <c r="G498" s="43">
        <f>E498+F498</f>
        <v>20000</v>
      </c>
      <c r="H498" s="43">
        <v>0</v>
      </c>
      <c r="I498" s="43">
        <v>0</v>
      </c>
    </row>
    <row r="499" spans="1:9" ht="15.75">
      <c r="A499" s="104" t="s">
        <v>241</v>
      </c>
      <c r="B499" s="42" t="s">
        <v>84</v>
      </c>
      <c r="C499" s="15" t="s">
        <v>242</v>
      </c>
      <c r="D499" s="105"/>
      <c r="E499" s="47">
        <v>0</v>
      </c>
      <c r="F499" s="47">
        <v>0</v>
      </c>
      <c r="G499" s="47">
        <v>0</v>
      </c>
      <c r="H499" s="47">
        <f>17443+14</f>
        <v>17457</v>
      </c>
      <c r="I499" s="47">
        <f>35728+49</f>
        <v>35777</v>
      </c>
    </row>
    <row r="500" spans="5:9" ht="12.75">
      <c r="E500" s="84"/>
      <c r="G500" s="84"/>
      <c r="H500" s="84"/>
      <c r="I500" s="84"/>
    </row>
    <row r="502" spans="5:7" ht="12.75">
      <c r="E502" s="84">
        <f>9065.7+E273+E392+E410+E412+E427+E458</f>
        <v>16505.4</v>
      </c>
      <c r="F502" s="84">
        <f>907.3+F273+F392+F410+F412+F427+F458</f>
        <v>1051.1</v>
      </c>
      <c r="G502" s="84">
        <f>E502+F502</f>
        <v>17556.5</v>
      </c>
    </row>
    <row r="503" spans="4:9" ht="12.75">
      <c r="D503" s="19"/>
      <c r="E503" s="84"/>
      <c r="F503" s="84"/>
      <c r="G503" s="84"/>
      <c r="H503" s="84"/>
      <c r="I503" s="84"/>
    </row>
    <row r="504" spans="4:9" ht="20.25" customHeight="1">
      <c r="D504" s="19"/>
      <c r="E504" s="84"/>
      <c r="F504" s="84"/>
      <c r="G504" s="84"/>
      <c r="H504" s="84"/>
      <c r="I504" s="84"/>
    </row>
    <row r="505" spans="4:9" ht="20.25" customHeight="1">
      <c r="D505" s="19"/>
      <c r="E505" s="84"/>
      <c r="F505" s="19"/>
      <c r="G505" s="84"/>
      <c r="H505" s="84"/>
      <c r="I505" s="84"/>
    </row>
    <row r="506" spans="5:9" ht="19.5" customHeight="1">
      <c r="E506" s="84"/>
      <c r="G506" s="84"/>
      <c r="H506" s="84"/>
      <c r="I506" s="84"/>
    </row>
    <row r="508" spans="5:9" ht="12.75">
      <c r="E508" s="84"/>
      <c r="G508" s="84"/>
      <c r="H508" s="84"/>
      <c r="I508" s="84"/>
    </row>
    <row r="510" spans="5:9" ht="12.75">
      <c r="E510" s="84"/>
      <c r="G510" s="84"/>
      <c r="H510" s="84"/>
      <c r="I510" s="84"/>
    </row>
    <row r="512" spans="5:9" ht="12.75">
      <c r="E512" s="84"/>
      <c r="G512" s="84"/>
      <c r="H512" s="84"/>
      <c r="I512" s="84"/>
    </row>
  </sheetData>
  <sheetProtection/>
  <autoFilter ref="A14:I500"/>
  <mergeCells count="15">
    <mergeCell ref="H2:I2"/>
    <mergeCell ref="B8:I8"/>
    <mergeCell ref="B9:I9"/>
    <mergeCell ref="B6:I6"/>
    <mergeCell ref="B7:I7"/>
    <mergeCell ref="G4:I4"/>
    <mergeCell ref="B3:I3"/>
    <mergeCell ref="A13:A14"/>
    <mergeCell ref="A11:I11"/>
    <mergeCell ref="B13:B14"/>
    <mergeCell ref="C13:C14"/>
    <mergeCell ref="D13:D14"/>
    <mergeCell ref="E13:E14"/>
    <mergeCell ref="F13:F14"/>
    <mergeCell ref="G13:I13"/>
  </mergeCells>
  <printOptions/>
  <pageMargins left="0.5905511811023623" right="0" top="0.15748031496062992" bottom="0.15748031496062992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2020-11-02T10:09:26Z</cp:lastPrinted>
  <dcterms:created xsi:type="dcterms:W3CDTF">2013-10-14T07:03:00Z</dcterms:created>
  <dcterms:modified xsi:type="dcterms:W3CDTF">2020-11-11T07:57:13Z</dcterms:modified>
  <cp:category/>
  <cp:version/>
  <cp:contentType/>
  <cp:contentStatus/>
</cp:coreProperties>
</file>