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30" windowWidth="15315" windowHeight="11145" activeTab="0"/>
  </bookViews>
  <sheets>
    <sheet name="2020-2022 год Приложение 3" sheetId="1" r:id="rId1"/>
    <sheet name="2020-2022 год Приложение  4" sheetId="2" r:id="rId2"/>
  </sheets>
  <definedNames>
    <definedName name="_xlnm._FilterDatabase" localSheetId="1" hidden="1">'2020-2022 год Приложение  4'!$A$14:$N$487</definedName>
    <definedName name="_xlnm._FilterDatabase" localSheetId="0" hidden="1">'2020-2022 год Приложение 3'!$A$14:$P$452</definedName>
    <definedName name="Z_00A17BE8_878F_44C0_BEBD_D447448DEF61_.wvu.FilterData" localSheetId="1" hidden="1">'2020-2022 год Приложение  4'!$A$15:$N$476</definedName>
    <definedName name="Z_00A17BE8_878F_44C0_BEBD_D447448DEF61_.wvu.FilterData" localSheetId="0" hidden="1">'2020-2022 год Приложение 3'!$A$15:$H$449</definedName>
    <definedName name="Z_0367B446_25B3_4CB0_AE8F_F56EFA9F0138_.wvu.FilterData" localSheetId="1" hidden="1">'2020-2022 год Приложение  4'!$A$15:$N$476</definedName>
    <definedName name="Z_03B9FC11_D718_472C_9325_658176A1E393_.wvu.FilterData" localSheetId="1" hidden="1">'2020-2022 год Приложение  4'!$A$15:$D$476</definedName>
    <definedName name="Z_05436EAD_0453_445C_AAB7_9532A20E8C45_.wvu.FilterData" localSheetId="1" hidden="1">'2020-2022 год Приложение  4'!$A$14:$K$476</definedName>
    <definedName name="Z_05436EAD_0453_445C_AAB7_9532A20E8C45_.wvu.FilterData" localSheetId="0" hidden="1">'2020-2022 год Приложение 3'!$A$14:$H$449</definedName>
    <definedName name="Z_05D8F9CD_8123_4AE2_99C0_5A7FA7BF4315_.wvu.FilterData" localSheetId="0" hidden="1">'2020-2022 год Приложение 3'!$A$14:$P$452</definedName>
    <definedName name="Z_063D0829_F066_4FFA_8D5C_E3787B171893_.wvu.FilterData" localSheetId="1" hidden="1">'2020-2022 год Приложение  4'!$A$15:$D$476</definedName>
    <definedName name="Z_063D0829_F066_4FFA_8D5C_E3787B171893_.wvu.FilterData" localSheetId="0" hidden="1">'2020-2022 год Приложение 3'!$A$14:$H$449</definedName>
    <definedName name="Z_06D77FE4_C06B_41FC_A188_543D8830905B_.wvu.FilterData" localSheetId="1" hidden="1">'2020-2022 год Приложение  4'!$A$14:$N$486</definedName>
    <definedName name="Z_0716348E_E5A1_49BF_9EA9_22865FC05A43_.wvu.FilterData" localSheetId="1" hidden="1">'2020-2022 год Приложение  4'!$A$15:$D$476</definedName>
    <definedName name="Z_09314010_6A21_4750_99BD_9347C651DB63_.wvu.FilterData" localSheetId="1" hidden="1">'2020-2022 год Приложение  4'!$A$15:$D$476</definedName>
    <definedName name="Z_0B09F77D_C89D_4A80_BFA9_4E1A7303ACDC_.wvu.FilterData" localSheetId="1" hidden="1">'2020-2022 год Приложение  4'!$A$15:$N$485</definedName>
    <definedName name="Z_0B09F77D_C89D_4A80_BFA9_4E1A7303ACDC_.wvu.FilterData" localSheetId="0" hidden="1">'2020-2022 год Приложение 3'!$A$15:$H$452</definedName>
    <definedName name="Z_0CFE7E40_53CB_4F78_8BC0_30B076713ABD_.wvu.FilterData" localSheetId="0" hidden="1">'2020-2022 год Приложение 3'!$A$15:$H$449</definedName>
    <definedName name="Z_0DDB39B5_DF79_4E3E_A133_C1DF74513EC4_.wvu.FilterData" localSheetId="1" hidden="1">'2020-2022 год Приложение  4'!$A$14:$N$486</definedName>
    <definedName name="Z_0DDB39B5_DF79_4E3E_A133_C1DF74513EC4_.wvu.FilterData" localSheetId="0" hidden="1">'2020-2022 год Приложение 3'!$A$14:$P$452</definedName>
    <definedName name="Z_0E10038A_98B5_41B6_8A52_E077AEBE24CB_.wvu.FilterData" localSheetId="1" hidden="1">'2020-2022 год Приложение  4'!$A$15:$N$476</definedName>
    <definedName name="Z_0EADD6BE_EB23_4F9F_B827_EC6BFE182CB1_.wvu.FilterData" localSheetId="0" hidden="1">'2020-2022 год Приложение 3'!$A$15:$H$449</definedName>
    <definedName name="Z_0EE3EDD7_0780_4555_BA38_4F54A9D92404_.wvu.FilterData" localSheetId="1" hidden="1">'2020-2022 год Приложение  4'!$A$15:$D$476</definedName>
    <definedName name="Z_0FCE94B1_9002_477B_B2E5_4184A7822AB9_.wvu.FilterData" localSheetId="1" hidden="1">'2020-2022 год Приложение  4'!$A$15:$D$476</definedName>
    <definedName name="Z_106C71B4_8745_4E3A_981C_439BE26187CB_.wvu.FilterData" localSheetId="1" hidden="1">'2020-2022 год Приложение  4'!$A$14:$N$487</definedName>
    <definedName name="Z_13268BAB_D594_46C0_B471_B32C252007A8_.wvu.FilterData" localSheetId="0" hidden="1">'2020-2022 год Приложение 3'!$A$15:$H$449</definedName>
    <definedName name="Z_13A5336D_CAB2_4461_BF67_1FCAB741CB2E_.wvu.FilterData" localSheetId="1" hidden="1">'2020-2022 год Приложение  4'!$A$15:$N$476</definedName>
    <definedName name="Z_13B1D33E_575E_47E1_B1E7_E0E9D6FF2CB6_.wvu.FilterData" localSheetId="1" hidden="1">'2020-2022 год Приложение  4'!$A$15:$N$476</definedName>
    <definedName name="Z_13B1D33E_575E_47E1_B1E7_E0E9D6FF2CB6_.wvu.FilterData" localSheetId="0" hidden="1">'2020-2022 год Приложение 3'!$A$15:$H$449</definedName>
    <definedName name="Z_15FA0134_A4CC_4D11_9858_645DC052B6AD_.wvu.FilterData" localSheetId="1" hidden="1">'2020-2022 год Приложение  4'!$A$15:$D$476</definedName>
    <definedName name="Z_1729F617_A0BC_4D84_A55B_85DEEA107106_.wvu.FilterData" localSheetId="1" hidden="1">'2020-2022 год Приложение  4'!$A$14:$N$487</definedName>
    <definedName name="Z_1729F617_A0BC_4D84_A55B_85DEEA107106_.wvu.FilterData" localSheetId="0" hidden="1">'2020-2022 год Приложение 3'!$A$14:$P$452</definedName>
    <definedName name="Z_1793FDB0_A567_4A38_9DE3_5A747B08302B_.wvu.FilterData" localSheetId="1" hidden="1">'2020-2022 год Приложение  4'!$A$15:$K$476</definedName>
    <definedName name="Z_1793FDB0_A567_4A38_9DE3_5A747B08302B_.wvu.FilterData" localSheetId="0" hidden="1">'2020-2022 год Приложение 3'!$A$15:$H$449</definedName>
    <definedName name="Z_194C4D50_8B1E_4DA0_A65A_45F4DB81B892_.wvu.FilterData" localSheetId="1" hidden="1">'2020-2022 год Приложение  4'!$A$14:$N$487</definedName>
    <definedName name="Z_194C4D50_8B1E_4DA0_A65A_45F4DB81B892_.wvu.FilterData" localSheetId="0" hidden="1">'2020-2022 год Приложение 3'!$A$14:$P$452</definedName>
    <definedName name="Z_1AA1C7E8_9431_413E_AEE6_AFCA81CFD471_.wvu.FilterData" localSheetId="1" hidden="1">'2020-2022 год Приложение  4'!$A$14:$K$476</definedName>
    <definedName name="Z_1AA718A6_3DAA_4262_B282_5B3E9BB12552_.wvu.FilterData" localSheetId="1" hidden="1">'2020-2022 год Приложение  4'!$A$14:$N$486</definedName>
    <definedName name="Z_1AA718A6_3DAA_4262_B282_5B3E9BB12552_.wvu.FilterData" localSheetId="0" hidden="1">'2020-2022 год Приложение 3'!$A$14:$P$452</definedName>
    <definedName name="Z_1C0C3F35_71F9_4D2D_A638_A75207DC70B3_.wvu.FilterData" localSheetId="1" hidden="1">'2020-2022 год Приложение  4'!$A$15:$N$476</definedName>
    <definedName name="Z_1C2CBEA6_B1D6_4CFC_89E4_B92BD2AE5C55_.wvu.FilterData" localSheetId="1" hidden="1">'2020-2022 год Приложение  4'!$A$15:$D$15</definedName>
    <definedName name="Z_1CBECDD3_B3FA_4906_B951_FE857F3A3E3A_.wvu.FilterData" localSheetId="1" hidden="1">'2020-2022 год Приложение  4'!$A$14:$N$487</definedName>
    <definedName name="Z_1CBECDD3_B3FA_4906_B951_FE857F3A3E3A_.wvu.FilterData" localSheetId="0" hidden="1">'2020-2022 год Приложение 3'!$A$14:$P$452</definedName>
    <definedName name="Z_1D63B7CC_0F8D_4744_A550_FF1CA2AA4F87_.wvu.FilterData" localSheetId="1" hidden="1">'2020-2022 год Приложение  4'!$A$14:$N$487</definedName>
    <definedName name="Z_1E00A9CD_B75D_4344_8689_CF1FDB6765FF_.wvu.FilterData" localSheetId="1" hidden="1">'2020-2022 год Приложение  4'!$A$14:$K$476</definedName>
    <definedName name="Z_1E052030_F48C_4DD4_B29D_0E8C002FAC48_.wvu.FilterData" localSheetId="1" hidden="1">'2020-2022 год Приложение  4'!$A$14:$N$486</definedName>
    <definedName name="Z_1E4CA0B1_24F5_4D27_8037_1E8CE5CEBB43_.wvu.FilterData" localSheetId="1" hidden="1">'2020-2022 год Приложение  4'!$A$14:$N$486</definedName>
    <definedName name="Z_20A13DD1_7173_4432_8F1D_5127F78A7FC1_.wvu.FilterData" localSheetId="0" hidden="1">'2020-2022 год Приложение 3'!$A$15:$H$449</definedName>
    <definedName name="Z_2342AC8A_9610_4C75_A5D5_C4E7FF18D4DE_.wvu.FilterData" localSheetId="1" hidden="1">'2020-2022 год Приложение  4'!$A$14:$N$486</definedName>
    <definedName name="Z_245CB67F_E520_4B94_8858_B81AB4723F58_.wvu.FilterData" localSheetId="0" hidden="1">'2020-2022 год Приложение 3'!$A$14:$P$452</definedName>
    <definedName name="Z_255C6B67_D096_41E9_BC2F_9E2EF7DC0ADD_.wvu.FilterData" localSheetId="1" hidden="1">'2020-2022 год Приложение  4'!$A$15:$D$476</definedName>
    <definedName name="Z_25DA3027_F1CD_4CF6_B3DA_FE997FF794DC_.wvu.FilterData" localSheetId="1" hidden="1">'2020-2022 год Приложение  4'!$A$14:$N$486</definedName>
    <definedName name="Z_25DA3027_F1CD_4CF6_B3DA_FE997FF794DC_.wvu.FilterData" localSheetId="0" hidden="1">'2020-2022 год Приложение 3'!$A$14:$P$452</definedName>
    <definedName name="Z_2628FDD6_6C81_4DF6_8476_B47EC5D322D1_.wvu.FilterData" localSheetId="1" hidden="1">'2020-2022 год Приложение  4'!$A$14:$N$487</definedName>
    <definedName name="Z_2628FDD6_6C81_4DF6_8476_B47EC5D322D1_.wvu.FilterData" localSheetId="0" hidden="1">'2020-2022 год Приложение 3'!$A$14:$P$452</definedName>
    <definedName name="Z_28EE3EBE_191C_4492_B285_F87B606971F7_.wvu.FilterData" localSheetId="1" hidden="1">'2020-2022 год Приложение  4'!$A$14:$K$476</definedName>
    <definedName name="Z_29F890E0_C9E7_42D5_82BF_281E463A6F97_.wvu.FilterData" localSheetId="0" hidden="1">'2020-2022 год Приложение 3'!$A$16:$H$370</definedName>
    <definedName name="Z_2B5903EA_C582_447F_AE1E_0069BE6A20DA_.wvu.FilterData" localSheetId="1" hidden="1">'2020-2022 год Приложение  4'!$A$14:$K$476</definedName>
    <definedName name="Z_2B5903EA_C582_447F_AE1E_0069BE6A20DA_.wvu.FilterData" localSheetId="0" hidden="1">'2020-2022 год Приложение 3'!$A$14:$H$449</definedName>
    <definedName name="Z_2C31D4B1_0698_43BF_AA90_7F4960F85D25_.wvu.FilterData" localSheetId="1" hidden="1">'2020-2022 год Приложение  4'!$A$14:$K$14</definedName>
    <definedName name="Z_2C31D4B1_0698_43BF_AA90_7F4960F85D25_.wvu.FilterData" localSheetId="0" hidden="1">'2020-2022 год Приложение 3'!$A$15:$C$449</definedName>
    <definedName name="Z_2C8748C9_2E71_4C69_94DE_87D1C2F1495D_.wvu.FilterData" localSheetId="1" hidden="1">'2020-2022 год Приложение  4'!$A$14:$K$476</definedName>
    <definedName name="Z_2C8748C9_2E71_4C69_94DE_87D1C2F1495D_.wvu.FilterData" localSheetId="0" hidden="1">'2020-2022 год Приложение 3'!$A$14:$H$449</definedName>
    <definedName name="Z_2D5C7954_DAA6_40B3_BCE4_2FB1B4EAA202_.wvu.FilterData" localSheetId="1" hidden="1">'2020-2022 год Приложение  4'!$A$14:$N$486</definedName>
    <definedName name="Z_2E8A7F9A_F1D1_411F_B656_1F019CD636A5_.wvu.FilterData" localSheetId="1" hidden="1">'2020-2022 год Приложение  4'!$A$15:$N$476</definedName>
    <definedName name="Z_2E8A7F9A_F1D1_411F_B656_1F019CD636A5_.wvu.FilterData" localSheetId="0" hidden="1">'2020-2022 год Приложение 3'!$A$15:$H$449</definedName>
    <definedName name="Z_2F069B6E_83FC_4202_8C2F_19D72B74E7B4_.wvu.FilterData" localSheetId="1" hidden="1">'2020-2022 год Приложение  4'!$A$14:$N$487</definedName>
    <definedName name="Z_2F069B6E_83FC_4202_8C2F_19D72B74E7B4_.wvu.FilterData" localSheetId="0" hidden="1">'2020-2022 год Приложение 3'!$A$14:$P$452</definedName>
    <definedName name="Z_2F2BAB57_3B85_4B60_A7AA_BFC253810F7B_.wvu.FilterData" localSheetId="1" hidden="1">'2020-2022 год Приложение  4'!$A$15:$D$476</definedName>
    <definedName name="Z_2F2BAB57_3B85_4B60_A7AA_BFC253810F7B_.wvu.FilterData" localSheetId="0" hidden="1">'2020-2022 год Приложение 3'!$A$15:$H$449</definedName>
    <definedName name="Z_2F4E7589_BB9E_4EE8_9FB7_7E262394E878_.wvu.FilterData" localSheetId="1" hidden="1">'2020-2022 год Приложение  4'!$A$14:$N$487</definedName>
    <definedName name="Z_2F4E7589_BB9E_4EE8_9FB7_7E262394E878_.wvu.FilterData" localSheetId="0" hidden="1">'2020-2022 год Приложение 3'!$A$14:$P$452</definedName>
    <definedName name="Z_2F4E7589_BB9E_4EE8_9FB7_7E262394E878_.wvu.PrintArea" localSheetId="1" hidden="1">'2020-2022 год Приложение  4'!$A$1:$I$485</definedName>
    <definedName name="Z_2F4E7589_BB9E_4EE8_9FB7_7E262394E878_.wvu.PrintTitles" localSheetId="1" hidden="1">'2020-2022 год Приложение  4'!$13:$14</definedName>
    <definedName name="Z_2FD6E6CE_7595_422E_A05A_30DB27EAFE8F_.wvu.FilterData" localSheetId="1" hidden="1">'2020-2022 год Приложение  4'!$A$15:$N$476</definedName>
    <definedName name="Z_3011A347_4FEE_45EE_A3D2_6E9495927AC2_.wvu.FilterData" localSheetId="0" hidden="1">'2020-2022 год Приложение 3'!$A$15:$H$449</definedName>
    <definedName name="Z_3043DB26_2AE8_4FBC_AF0B_98EE0530BCF3_.wvu.FilterData" localSheetId="1" hidden="1">'2020-2022 год Приложение  4'!$A$14:$N$486</definedName>
    <definedName name="Z_31304256_DFD3_482B_B984_BC9517A67CAB_.wvu.FilterData" localSheetId="0" hidden="1">'2020-2022 год Приложение 3'!$A$16:$H$370</definedName>
    <definedName name="Z_32513D7C_6D2E_4806_BFCE_CD9FEFA27E0A_.wvu.FilterData" localSheetId="1" hidden="1">'2020-2022 год Приложение  4'!$A$15:$D$476</definedName>
    <definedName name="Z_325269F9_9B7F_4B55_9F32_1A4C2C92C2FD_.wvu.FilterData" localSheetId="1" hidden="1">'2020-2022 год Приложение  4'!$A$14:$N$486</definedName>
    <definedName name="Z_326281D8_1458_43AD_995C_40833A4FF9F7_.wvu.FilterData" localSheetId="1" hidden="1">'2020-2022 год Приложение  4'!$A$15:$K$476</definedName>
    <definedName name="Z_326A7E77_A9A7_4FEA_9D3B_9E37C76DF9C0_.wvu.FilterData" localSheetId="1" hidden="1">'2020-2022 год Приложение  4'!$A$15:$N$485</definedName>
    <definedName name="Z_326A7E77_A9A7_4FEA_9D3B_9E37C76DF9C0_.wvu.FilterData" localSheetId="0" hidden="1">'2020-2022 год Приложение 3'!$A$15:$H$452</definedName>
    <definedName name="Z_331A4417_6C49_4562_9796_C359FA2BE96D_.wvu.FilterData" localSheetId="1" hidden="1">'2020-2022 год Приложение  4'!$A$15:$N$476</definedName>
    <definedName name="Z_33A39570_20DE_4F2F_A078_9F3318EDC7C4_.wvu.FilterData" localSheetId="1" hidden="1">'2020-2022 год Приложение  4'!$A$14:$N$486</definedName>
    <definedName name="Z_33A39570_20DE_4F2F_A078_9F3318EDC7C4_.wvu.FilterData" localSheetId="0" hidden="1">'2020-2022 год Приложение 3'!$A$14:$P$452</definedName>
    <definedName name="Z_3496C1F0_BCFA_4A0C_A603_54E999DDD507_.wvu.FilterData" localSheetId="1" hidden="1">'2020-2022 год Приложение  4'!$A$15:$N$476</definedName>
    <definedName name="Z_35042B4D_185D_4923_B7C3_7D72B1327020_.wvu.FilterData" localSheetId="0" hidden="1">'2020-2022 год Приложение 3'!$A$14:$H$449</definedName>
    <definedName name="Z_36D0FE8F_F221_4C7E_9A36_23BAF26A4B3C_.wvu.FilterData" localSheetId="1" hidden="1">'2020-2022 год Приложение  4'!$A$14:$N$487</definedName>
    <definedName name="Z_36D0FE8F_F221_4C7E_9A36_23BAF26A4B3C_.wvu.FilterData" localSheetId="0" hidden="1">'2020-2022 год Приложение 3'!$A$14:$P$452</definedName>
    <definedName name="Z_372AE423_B16C_4226_B887_6F875638DB23_.wvu.FilterData" localSheetId="1" hidden="1">'2020-2022 год Приложение  4'!$A$15:$D$476</definedName>
    <definedName name="Z_372AE423_B16C_4226_B887_6F875638DB23_.wvu.FilterData" localSheetId="0" hidden="1">'2020-2022 год Приложение 3'!$A$15:$H$449</definedName>
    <definedName name="Z_37C22F8C_5317_4036_9B6D_4959DC678D32_.wvu.FilterData" localSheetId="1" hidden="1">'2020-2022 год Приложение  4'!$A$15:$D$476</definedName>
    <definedName name="Z_37C22F8C_5317_4036_9B6D_4959DC678D32_.wvu.FilterData" localSheetId="0" hidden="1">'2020-2022 год Приложение 3'!$A$15:$H$449</definedName>
    <definedName name="Z_383CEABE_F949_4B72_892F_0ABF911F7452_.wvu.FilterData" localSheetId="1" hidden="1">'2020-2022 год Приложение  4'!$A$14:$N$486</definedName>
    <definedName name="Z_386D50F9_CEE7_46CD_A395_43D9880373C4_.wvu.FilterData" localSheetId="1" hidden="1">'2020-2022 год Приложение  4'!$A$15:$D$476</definedName>
    <definedName name="Z_386D50F9_CEE7_46CD_A395_43D9880373C4_.wvu.FilterData" localSheetId="0" hidden="1">'2020-2022 год Приложение 3'!$A$15:$C$449</definedName>
    <definedName name="Z_38C63987_0AE9_4A83_8CF7_BCCCF760641A_.wvu.FilterData" localSheetId="1" hidden="1">'2020-2022 год Приложение  4'!$A$15:$K$476</definedName>
    <definedName name="Z_3A202BC1_A5BF_4B0A_AE04_4ADD78D9DA7D_.wvu.FilterData" localSheetId="1" hidden="1">'2020-2022 год Приложение  4'!$A$15:$N$476</definedName>
    <definedName name="Z_3C3D319D_9875_4423_A472_EA1CBCFD3D32_.wvu.FilterData" localSheetId="1" hidden="1">'2020-2022 год Приложение  4'!$A$15:$N$476</definedName>
    <definedName name="Z_3D36D4CD_D317_4D11_9EF4_279AF0BA4D22_.wvu.FilterData" localSheetId="1" hidden="1">'2020-2022 год Приложение  4'!$A$15:$N$476</definedName>
    <definedName name="Z_3DD74414_5CAB_495E_9125_A70EBFC442AF_.wvu.FilterData" localSheetId="1" hidden="1">'2020-2022 год Приложение  4'!$A$16:$K$476</definedName>
    <definedName name="Z_3DDD7641_CD23_4658_A2CE_B4FEB02A0159_.wvu.FilterData" localSheetId="1" hidden="1">'2020-2022 год Приложение  4'!$A$15:$N$476</definedName>
    <definedName name="Z_3E6C3B2B_9BE5_4A89_A297_56EDE963DDC1_.wvu.FilterData" localSheetId="1" hidden="1">'2020-2022 год Приложение  4'!$A$15:$K$476</definedName>
    <definedName name="Z_3F313A6C_4796_49DF_9C11_D110C8E222E8_.wvu.FilterData" localSheetId="1" hidden="1">'2020-2022 год Приложение  4'!$A$15:$D$15</definedName>
    <definedName name="Z_3F53FC12_C96E_4629_94B2_DDD250704DFC_.wvu.FilterData" localSheetId="1" hidden="1">'2020-2022 год Приложение  4'!$A$15:$N$476</definedName>
    <definedName name="Z_3F53FC12_C96E_4629_94B2_DDD250704DFC_.wvu.FilterData" localSheetId="0" hidden="1">'2020-2022 год Приложение 3'!$A$15:$H$449</definedName>
    <definedName name="Z_402CE151_A379_47CF_ADFC_8382F954F58E_.wvu.FilterData" localSheetId="1" hidden="1">'2020-2022 год Приложение  4'!$A$14:$N$486</definedName>
    <definedName name="Z_40328EBE_1B9A_4C01_AA33_3C094B2C7826_.wvu.FilterData" localSheetId="0" hidden="1">'2020-2022 год Приложение 3'!$A$15:$C$449</definedName>
    <definedName name="Z_4211EEE3_80E0_4661_AF12_187209E361F0_.wvu.FilterData" localSheetId="1" hidden="1">'2020-2022 год Приложение  4'!$A$14:$K$476</definedName>
    <definedName name="Z_4211EEE3_80E0_4661_AF12_187209E361F0_.wvu.FilterData" localSheetId="0" hidden="1">'2020-2022 год Приложение 3'!$A$15:$C$449</definedName>
    <definedName name="Z_424E4B19_E6F2_4A8C_83A5_CFD54B48D6E9_.wvu.FilterData" localSheetId="1" hidden="1">'2020-2022 год Приложение  4'!$A$15:$N$476</definedName>
    <definedName name="Z_427AE314_3976_4058_892A_5851309CCB98_.wvu.FilterData" localSheetId="1" hidden="1">'2020-2022 год Приложение  4'!$A$14:$K$476</definedName>
    <definedName name="Z_427AE314_3976_4058_892A_5851309CCB98_.wvu.FilterData" localSheetId="0" hidden="1">'2020-2022 год Приложение 3'!$A$14:$H$449</definedName>
    <definedName name="Z_43823885_114F_435D_A47D_D3CA76F33AAB_.wvu.FilterData" localSheetId="0" hidden="1">'2020-2022 год Приложение 3'!$A$16:$C$339</definedName>
    <definedName name="Z_44D4B39A_6AEB_45CE_8EB9_267FE36AD709_.wvu.FilterData" localSheetId="1" hidden="1">'2020-2022 год Приложение  4'!$A$14:$N$486</definedName>
    <definedName name="Z_467F0D3D_0B71_4362_9E4C_6C954DC8A15D_.wvu.FilterData" localSheetId="1" hidden="1">'2020-2022 год Приложение  4'!$A$16:$K$476</definedName>
    <definedName name="Z_48336C08_94FE_4074_AC8A_EA8B237AD038_.wvu.FilterData" localSheetId="1" hidden="1">'2020-2022 год Приложение  4'!$A$15:$D$476</definedName>
    <definedName name="Z_48336C08_94FE_4074_AC8A_EA8B237AD038_.wvu.FilterData" localSheetId="0" hidden="1">'2020-2022 год Приложение 3'!$A$15:$H$449</definedName>
    <definedName name="Z_48520079_7DAF_4F6C_A0C8_C53C7CAF0243_.wvu.FilterData" localSheetId="1" hidden="1">'2020-2022 год Приложение  4'!$A$14:$N$487</definedName>
    <definedName name="Z_49EE256F_16A9_4E3D_AC02_1CCCF545AD42_.wvu.FilterData" localSheetId="1" hidden="1">'2020-2022 год Приложение  4'!$A$14:$N$487</definedName>
    <definedName name="Z_4B4FD35A_9469_4FE1_882E_85989A878F33_.wvu.FilterData" localSheetId="1" hidden="1">'2020-2022 год Приложение  4'!$A$15:$D$15</definedName>
    <definedName name="Z_4B6C104C_E823_4230_B8E7_837634FD5851_.wvu.FilterData" localSheetId="1" hidden="1">'2020-2022 год Приложение  4'!$A$15:$K$476</definedName>
    <definedName name="Z_4B6C104C_E823_4230_B8E7_837634FD5851_.wvu.FilterData" localSheetId="0" hidden="1">'2020-2022 год Приложение 3'!$A$15:$H$449</definedName>
    <definedName name="Z_4BA108C4_7B33_4A4E_B388_A3DA552B5D0C_.wvu.FilterData" localSheetId="1" hidden="1">'2020-2022 год Приложение  4'!$A$14:$N$486</definedName>
    <definedName name="Z_4BF88301_5D07_4335_9373_DE01F04BD47F_.wvu.FilterData" localSheetId="1" hidden="1">'2020-2022 год Приложение  4'!$A$15:$N$476</definedName>
    <definedName name="Z_4CC13233_2272_48EC_B93B_D629C6380523_.wvu.FilterData" localSheetId="1" hidden="1">'2020-2022 год Приложение  4'!$A$14:$K$476</definedName>
    <definedName name="Z_4CC13233_2272_48EC_B93B_D629C6380523_.wvu.FilterData" localSheetId="0" hidden="1">'2020-2022 год Приложение 3'!$A$14:$H$449</definedName>
    <definedName name="Z_4D082717_2030_4E18_BF0C_1FDC8BC05C2F_.wvu.FilterData" localSheetId="1" hidden="1">'2020-2022 год Приложение  4'!$A$14:$N$487</definedName>
    <definedName name="Z_4D082717_2030_4E18_BF0C_1FDC8BC05C2F_.wvu.FilterData" localSheetId="0" hidden="1">'2020-2022 год Приложение 3'!$A$14:$P$452</definedName>
    <definedName name="Z_4D3648C3_6F57_4DAB_9EA5_7A2AB6A90FF8_.wvu.FilterData" localSheetId="1" hidden="1">'2020-2022 год Приложение  4'!$A$15:$K$476</definedName>
    <definedName name="Z_4D55DC1B_A7FD_49B3_B1F4_FC222955B568_.wvu.FilterData" localSheetId="1" hidden="1">'2020-2022 год Приложение  4'!$A$14:$N$486</definedName>
    <definedName name="Z_4DD4AE89_7647_448D_8A0D_26557585F373_.wvu.FilterData" localSheetId="1" hidden="1">'2020-2022 год Приложение  4'!$A$15:$N$476</definedName>
    <definedName name="Z_4DD4AE89_7647_448D_8A0D_26557585F373_.wvu.FilterData" localSheetId="0" hidden="1">'2020-2022 год Приложение 3'!$A$15:$H$449</definedName>
    <definedName name="Z_4E1C3345_197A_4EB5_ACB4_F9888915535C_.wvu.FilterData" localSheetId="0" hidden="1">'2020-2022 год Приложение 3'!$A$15:$H$449</definedName>
    <definedName name="Z_4EC1B69C_83C5_489D_8D1C_884BE3E4CFF1_.wvu.FilterData" localSheetId="0" hidden="1">'2020-2022 год Приложение 3'!$A$14:$P$452</definedName>
    <definedName name="Z_50EC7A1E_0082_4E23_B8FF_7D5B6E9DF2C8_.wvu.FilterData" localSheetId="0" hidden="1">'2020-2022 год Приложение 3'!$A$14:$P$452</definedName>
    <definedName name="Z_51B46B97_55CA_4B76_BFE3_11ABFF98CFC6_.wvu.FilterData" localSheetId="1" hidden="1">'2020-2022 год Приложение  4'!$A$15:$D$474</definedName>
    <definedName name="Z_52A3D980_C956_4013_B795_3D8200BEA587_.wvu.FilterData" localSheetId="1" hidden="1">'2020-2022 год Приложение  4'!$A$15:$D$476</definedName>
    <definedName name="Z_539E4347_8C7F_44D4_9505_98849C03138E_.wvu.FilterData" localSheetId="0" hidden="1">'2020-2022 год Приложение 3'!$A$14:$H$370</definedName>
    <definedName name="Z_54DA9FAF_3460_4A9A_9DF6_7EF37DBCF7F1_.wvu.FilterData" localSheetId="1" hidden="1">'2020-2022 год Приложение  4'!$A$15:$D$476</definedName>
    <definedName name="Z_54DA9FAF_3460_4A9A_9DF6_7EF37DBCF7F1_.wvu.FilterData" localSheetId="0" hidden="1">'2020-2022 год Приложение 3'!$A$15:$C$449</definedName>
    <definedName name="Z_54FDBBC3_8B4A_4E98_958F_D0CC01A20386_.wvu.FilterData" localSheetId="1" hidden="1">'2020-2022 год Приложение  4'!$A$15:$D$476</definedName>
    <definedName name="Z_55ADA995_3354_4F19_B2FA_4CB4ECB5834D_.wvu.FilterData" localSheetId="0" hidden="1">'2020-2022 год Приложение 3'!$A$16:$C$339</definedName>
    <definedName name="Z_55E1A562_0EF0_422A_9EF8_173A182C0CF4_.wvu.FilterData" localSheetId="0" hidden="1">'2020-2022 год Приложение 3'!$A$15:$H$449</definedName>
    <definedName name="Z_569D1BE0_637C_440E_82B8_4681627B74A4_.wvu.FilterData" localSheetId="1" hidden="1">'2020-2022 год Приложение  4'!$A$14:$N$486</definedName>
    <definedName name="Z_56C32958_9677_4F2B_B05C_46DC39A9C1A7_.wvu.FilterData" localSheetId="1" hidden="1">'2020-2022 год Приложение  4'!$A$14:$N$485</definedName>
    <definedName name="Z_56D81942_1FFC_4A87_98C9_603FCDE13260_.wvu.FilterData" localSheetId="1" hidden="1">'2020-2022 год Приложение  4'!$A$14:$N$486</definedName>
    <definedName name="Z_5752EBC4_0B49_4536_8B00_E9C01ED1A121_.wvu.FilterData" localSheetId="1" hidden="1">'2020-2022 год Приложение  4'!$A$15:$J$476</definedName>
    <definedName name="Z_5752EBC4_0B49_4536_8B00_E9C01ED1A121_.wvu.FilterData" localSheetId="0" hidden="1">'2020-2022 год Приложение 3'!$A$15:$H$449</definedName>
    <definedName name="Z_580FC08B_EB79_47A0_B1BB_FFE3BDE0FBD9_.wvu.Cols" localSheetId="1" hidden="1">'2020-2022 год Приложение  4'!$E:$F</definedName>
    <definedName name="Z_580FC08B_EB79_47A0_B1BB_FFE3BDE0FBD9_.wvu.Cols" localSheetId="0" hidden="1">'2020-2022 год Приложение 3'!$D:$E</definedName>
    <definedName name="Z_580FC08B_EB79_47A0_B1BB_FFE3BDE0FBD9_.wvu.FilterData" localSheetId="1" hidden="1">'2020-2022 год Приложение  4'!$A$14:$N$487</definedName>
    <definedName name="Z_580FC08B_EB79_47A0_B1BB_FFE3BDE0FBD9_.wvu.FilterData" localSheetId="0" hidden="1">'2020-2022 год Приложение 3'!$A$14:$P$452</definedName>
    <definedName name="Z_580FC08B_EB79_47A0_B1BB_FFE3BDE0FBD9_.wvu.PrintArea" localSheetId="1" hidden="1">'2020-2022 год Приложение  4'!$A$1:$I$485</definedName>
    <definedName name="Z_580FC08B_EB79_47A0_B1BB_FFE3BDE0FBD9_.wvu.PrintArea" localSheetId="0" hidden="1">'2020-2022 год Приложение 3'!$A$1:$H$452</definedName>
    <definedName name="Z_580FC08B_EB79_47A0_B1BB_FFE3BDE0FBD9_.wvu.PrintTitles" localSheetId="1" hidden="1">'2020-2022 год Приложение  4'!$13:$14</definedName>
    <definedName name="Z_580FC08B_EB79_47A0_B1BB_FFE3BDE0FBD9_.wvu.Rows" localSheetId="1" hidden="1">'2020-2022 год Приложение  4'!#REF!,'2020-2022 год Приложение  4'!#REF!,'2020-2022 год Приложение  4'!#REF!,'2020-2022 год Приложение  4'!#REF!,'2020-2022 год Приложение  4'!#REF!,'2020-2022 год Приложение  4'!#REF!,'2020-2022 год Приложение  4'!$486:$486</definedName>
    <definedName name="Z_59C2AACE_D634_4A8E_AB6E_28C6423B75B3_.wvu.FilterData" localSheetId="0" hidden="1">'2020-2022 год Приложение 3'!$A$14:$H$370</definedName>
    <definedName name="Z_5C025C79_5D14_4BAA_BFBE_9AADEECC4192_.wvu.FilterData" localSheetId="1" hidden="1">'2020-2022 год Приложение  4'!$A$14:$K$476</definedName>
    <definedName name="Z_5C025C79_5D14_4BAA_BFBE_9AADEECC4192_.wvu.FilterData" localSheetId="0" hidden="1">'2020-2022 год Приложение 3'!$A$14:$H$449</definedName>
    <definedName name="Z_5CDEDDD8_D30C_4AFC_800F_E6E8BABF8855_.wvu.FilterData" localSheetId="0" hidden="1">'2020-2022 год Приложение 3'!$A$14:$P$452</definedName>
    <definedName name="Z_5D281A4A_D9B3_4FFB_A671_226289380EFA_.wvu.FilterData" localSheetId="1" hidden="1">'2020-2022 год Приложение  4'!$A$14:$N$486</definedName>
    <definedName name="Z_5D281A4A_D9B3_4FFB_A671_226289380EFA_.wvu.FilterData" localSheetId="0" hidden="1">'2020-2022 год Приложение 3'!$A$14:$P$452</definedName>
    <definedName name="Z_5D8C17BC_AA9D_4951_B935_41BCC0994151_.wvu.FilterData" localSheetId="1" hidden="1">'2020-2022 год Приложение  4'!$A$14:$K$476</definedName>
    <definedName name="Z_5E41CC12_96D3_46DA_8B27_1E27974E447A_.wvu.FilterData" localSheetId="1" hidden="1">'2020-2022 год Приложение  4'!$A$15:$D$476</definedName>
    <definedName name="Z_600DD210_17BC_46DE_B02E_8F488F8FE244_.wvu.FilterData" localSheetId="1" hidden="1">'2020-2022 год Приложение  4'!$A$14:$K$476</definedName>
    <definedName name="Z_61806E68_5051_48E6_8D45_0FCD3D1558B3_.wvu.FilterData" localSheetId="1" hidden="1">'2020-2022 год Приложение  4'!$A$14:$N$487</definedName>
    <definedName name="Z_61806E68_5051_48E6_8D45_0FCD3D1558B3_.wvu.FilterData" localSheetId="0" hidden="1">'2020-2022 год Приложение 3'!$A$14:$P$452</definedName>
    <definedName name="Z_61806E68_5051_48E6_8D45_0FCD3D1558B3_.wvu.PrintArea" localSheetId="1" hidden="1">'2020-2022 год Приложение  4'!$A$1:$I$485</definedName>
    <definedName name="Z_61806E68_5051_48E6_8D45_0FCD3D1558B3_.wvu.PrintArea" localSheetId="0" hidden="1">'2020-2022 год Приложение 3'!$A$1:$H$452</definedName>
    <definedName name="Z_61806E68_5051_48E6_8D45_0FCD3D1558B3_.wvu.PrintTitles" localSheetId="1" hidden="1">'2020-2022 год Приложение  4'!$13:$14</definedName>
    <definedName name="Z_62E25274_6F1E_4A5A_B5A4_BBE3A2D11971_.wvu.FilterData" localSheetId="1" hidden="1">'2020-2022 год Приложение  4'!$A$14:$N$487</definedName>
    <definedName name="Z_64842CF8_C097_4857_8552_56BA78A522D2_.wvu.FilterData" localSheetId="1" hidden="1">'2020-2022 год Приложение  4'!$A$14:$N$486</definedName>
    <definedName name="Z_64842CF8_C097_4857_8552_56BA78A522D2_.wvu.FilterData" localSheetId="0" hidden="1">'2020-2022 год Приложение 3'!$A$14:$P$452</definedName>
    <definedName name="Z_65075A4D_E3FA_49BB_8009_D0572786FC9F_.wvu.FilterData" localSheetId="1" hidden="1">'2020-2022 год Приложение  4'!$A$15:$D$476</definedName>
    <definedName name="Z_65075A4D_E3FA_49BB_8009_D0572786FC9F_.wvu.FilterData" localSheetId="0" hidden="1">'2020-2022 год Приложение 3'!$A$15:$H$449</definedName>
    <definedName name="Z_652EEE1E_8D26_4708_8098_351B1CA3B36B_.wvu.FilterData" localSheetId="1" hidden="1">'2020-2022 год Приложение  4'!$A$14:$N$487</definedName>
    <definedName name="Z_659F45E2_B4C1_4E2B_97A0_1DD61AFB318D_.wvu.FilterData" localSheetId="1" hidden="1">'2020-2022 год Приложение  4'!$A$14:$N$487</definedName>
    <definedName name="Z_6A9F626D_B5C9_445D_9F91_12D541237654_.wvu.FilterData" localSheetId="1" hidden="1">'2020-2022 год Приложение  4'!$A$14:$N$485</definedName>
    <definedName name="Z_6D077CB9_8D59_462F_924F_03374197C26E_.wvu.FilterData" localSheetId="1" hidden="1">'2020-2022 год Приложение  4'!$A$15:$D$476</definedName>
    <definedName name="Z_6DFC8E4B_4846_4ACB_803A_C01DDFF5FD08_.wvu.FilterData" localSheetId="1" hidden="1">'2020-2022 год Приложение  4'!$A$16:$K$476</definedName>
    <definedName name="Z_6FA2F3FF_FC92_4230_AD85_214210FA1FCD_.wvu.FilterData" localSheetId="0" hidden="1">'2020-2022 год Приложение 3'!$A$15:$H$449</definedName>
    <definedName name="Z_6FDD2DD6_A80A_404B_8AE4_CD3FE455A3F7_.wvu.FilterData" localSheetId="1" hidden="1">'2020-2022 год Приложение  4'!$A$14:$N$485</definedName>
    <definedName name="Z_6FDD2DD6_A80A_404B_8AE4_CD3FE455A3F7_.wvu.FilterData" localSheetId="0" hidden="1">'2020-2022 год Приложение 3'!$A$14:$P$452</definedName>
    <definedName name="Z_705D0166_D47B_44E0_B753_48B27BAD2F83_.wvu.FilterData" localSheetId="1" hidden="1">'2020-2022 год Приложение  4'!$A$14:$N$486</definedName>
    <definedName name="Z_705D0166_D47B_44E0_B753_48B27BAD2F83_.wvu.FilterData" localSheetId="0" hidden="1">'2020-2022 год Приложение 3'!$A$14:$P$452</definedName>
    <definedName name="Z_70A97D09_6105_4B02_B7B6_DBBACE81FC1A_.wvu.FilterData" localSheetId="1" hidden="1">'2020-2022 год Приложение  4'!$A$15:$D$476</definedName>
    <definedName name="Z_70A97D09_6105_4B02_B7B6_DBBACE81FC1A_.wvu.FilterData" localSheetId="0" hidden="1">'2020-2022 год Приложение 3'!$A$15:$H$449</definedName>
    <definedName name="Z_712AD0B0_6BA1_4BC2_9CE3_9601459A3B21_.wvu.FilterData" localSheetId="1" hidden="1">'2020-2022 год Приложение  4'!$A$14:$N$487</definedName>
    <definedName name="Z_71E905DE_E4C2_41D6_AE4D_523FA0B80977_.wvu.FilterData" localSheetId="0" hidden="1">'2020-2022 год Приложение 3'!$A$16:$C$339</definedName>
    <definedName name="Z_72B4C89C_49DE_4A17_8DDA_74F10DAAFBE1_.wvu.FilterData" localSheetId="1" hidden="1">'2020-2022 год Приложение  4'!$A$14:$N$486</definedName>
    <definedName name="Z_768B9204_F1EC_47F0_A690_BF94608AD544_.wvu.FilterData" localSheetId="0" hidden="1">'2020-2022 год Приложение 3'!$A$15:$C$449</definedName>
    <definedName name="Z_777E1047_05A4_453A_BA66_615495BC0516_.wvu.FilterData" localSheetId="1" hidden="1">'2020-2022 год Приложение  4'!$A$16:$K$476</definedName>
    <definedName name="Z_777E1047_05A4_453A_BA66_615495BC0516_.wvu.FilterData" localSheetId="0" hidden="1">'2020-2022 год Приложение 3'!$A$15:$H$449</definedName>
    <definedName name="Z_7813E585_2814_4167_ABED_699744C04C2C_.wvu.FilterData" localSheetId="1" hidden="1">'2020-2022 год Приложение  4'!$A$15:$D$15</definedName>
    <definedName name="Z_7940A028_A7AF_4FFC_B2DF_4B504F31FD94_.wvu.FilterData" localSheetId="1" hidden="1">'2020-2022 год Приложение  4'!$A$14:$N$487</definedName>
    <definedName name="Z_7D22304E_D1C8_401C_BE7F_FAD7CB5ABD0F_.wvu.FilterData" localSheetId="1" hidden="1">'2020-2022 год Приложение  4'!$A$15:$N$485</definedName>
    <definedName name="Z_7D2A376A_8FBD_4BB2_8C7D_94AE0A678472_.wvu.FilterData" localSheetId="1" hidden="1">'2020-2022 год Приложение  4'!$A$15:$N$476</definedName>
    <definedName name="Z_7D2A376A_8FBD_4BB2_8C7D_94AE0A678472_.wvu.FilterData" localSheetId="0" hidden="1">'2020-2022 год Приложение 3'!$A$15:$H$449</definedName>
    <definedName name="Z_7D3926A4_57E5_40FD_95A9_3F0FFE087D34_.wvu.FilterData" localSheetId="1" hidden="1">'2020-2022 год Приложение  4'!$A$15:$D$476</definedName>
    <definedName name="Z_7DA340B0_A677_40FD_82BA_34EB9FBA5556_.wvu.FilterData" localSheetId="1" hidden="1">'2020-2022 год Приложение  4'!$A$15:$N$476</definedName>
    <definedName name="Z_7DF7B80B_696A_4C0C_BA73_6C7E22E0BFA3_.wvu.FilterData" localSheetId="1" hidden="1">'2020-2022 год Приложение  4'!$A$14:$N$487</definedName>
    <definedName name="Z_7ED1B12E_18E8_4D0C_999C_3C696EA0954D_.wvu.FilterData" localSheetId="1" hidden="1">'2020-2022 год Приложение  4'!$A$15:$N$476</definedName>
    <definedName name="Z_7ED1B12E_18E8_4D0C_999C_3C696EA0954D_.wvu.FilterData" localSheetId="0" hidden="1">'2020-2022 год Приложение 3'!$A$15:$H$449</definedName>
    <definedName name="Z_7F2A2685_A0E5_4EC9_8A9A_FBEC6AEEC584_.wvu.FilterData" localSheetId="1" hidden="1">'2020-2022 год Приложение  4'!$A$14:$N$486</definedName>
    <definedName name="Z_7F60680A_F797_4F75_B289_136C39785CB1_.wvu.FilterData" localSheetId="1" hidden="1">'2020-2022 год Приложение  4'!$A$14:$K$14</definedName>
    <definedName name="Z_7F60680A_F797_4F75_B289_136C39785CB1_.wvu.FilterData" localSheetId="0" hidden="1">'2020-2022 год Приложение 3'!$A$15:$C$449</definedName>
    <definedName name="Z_803FF1DA_FE3A_4C89_ACF9_5F7B432D37D2_.wvu.FilterData" localSheetId="1" hidden="1">'2020-2022 год Приложение  4'!$A$15:$N$485</definedName>
    <definedName name="Z_8099F9D8_3DEF_4716_96B1_2D7622FBA908_.wvu.FilterData" localSheetId="0" hidden="1">'2020-2022 год Приложение 3'!$A$15:$H$449</definedName>
    <definedName name="Z_840257E4_FFC7_48B0_9B38_53E946E6B820_.wvu.FilterData" localSheetId="1" hidden="1">'2020-2022 год Приложение  4'!$A$14:$N$486</definedName>
    <definedName name="Z_846BC90F_537E_49E8_A607_A0E4864A881D_.wvu.FilterData" localSheetId="1" hidden="1">'2020-2022 год Приложение  4'!$A$15:$D$476</definedName>
    <definedName name="Z_84810A54_967A_4759_8061_B741BCC05467_.wvu.FilterData" localSheetId="1" hidden="1">'2020-2022 год Приложение  4'!$A$15:$D$476</definedName>
    <definedName name="Z_84810A54_967A_4759_8061_B741BCC05467_.wvu.FilterData" localSheetId="0" hidden="1">'2020-2022 год Приложение 3'!$A$15:$C$449</definedName>
    <definedName name="Z_85227F59_2ABD_4457_B872_C32BBA9DAD0F_.wvu.FilterData" localSheetId="1" hidden="1">'2020-2022 год Приложение  4'!$A$15:$D$476</definedName>
    <definedName name="Z_897A8A7F_52ED_4037_B135_D2E3BC3DCF4C_.wvu.FilterData" localSheetId="1" hidden="1">'2020-2022 год Приложение  4'!$A$14:$N$487</definedName>
    <definedName name="Z_8A0DEA83_7805_4952_B850_C5AA181F7D7A_.wvu.FilterData" localSheetId="1" hidden="1">'2020-2022 год Приложение  4'!$A$15:$D$476</definedName>
    <definedName name="Z_8A6693F6_3B9B_4545_AD65_EC8C2DCC3E76_.wvu.FilterData" localSheetId="1" hidden="1">'2020-2022 год Приложение  4'!$A$14:$N$486</definedName>
    <definedName name="Z_8B0D6C27_C56C_4672_BE16_AA2BB86B1797_.wvu.FilterData" localSheetId="1" hidden="1">'2020-2022 год Приложение  4'!$A$14:$N$486</definedName>
    <definedName name="Z_8B0D6C27_C56C_4672_BE16_AA2BB86B1797_.wvu.FilterData" localSheetId="0" hidden="1">'2020-2022 год Приложение 3'!$A$14:$P$452</definedName>
    <definedName name="Z_90C4E073_73E1_4CF8_8D6C_D3F123ECDF26_.wvu.FilterData" localSheetId="1" hidden="1">'2020-2022 год Приложение  4'!$A$15:$K$476</definedName>
    <definedName name="Z_90C4E073_73E1_4CF8_8D6C_D3F123ECDF26_.wvu.FilterData" localSheetId="0" hidden="1">'2020-2022 год Приложение 3'!$A$15:$H$449</definedName>
    <definedName name="Z_90E5380E_CDF8_4D38_9E20_1FA14AE59581_.wvu.FilterData" localSheetId="1" hidden="1">'2020-2022 год Приложение  4'!$A$16:$K$476</definedName>
    <definedName name="Z_90E5380E_CDF8_4D38_9E20_1FA14AE59581_.wvu.FilterData" localSheetId="0" hidden="1">'2020-2022 год Приложение 3'!$A$15:$H$449</definedName>
    <definedName name="Z_917D339C_6FD9_4579_A679_AC80361B9D57_.wvu.FilterData" localSheetId="1" hidden="1">'2020-2022 год Приложение  4'!$A$14:$K$14</definedName>
    <definedName name="Z_917D339C_6FD9_4579_A679_AC80361B9D57_.wvu.FilterData" localSheetId="0" hidden="1">'2020-2022 год Приложение 3'!$A$15:$C$449</definedName>
    <definedName name="Z_91950569_3719_458D_B0AB_7E6F43EB965E_.wvu.FilterData" localSheetId="1" hidden="1">'2020-2022 год Приложение  4'!$A$15:$D$476</definedName>
    <definedName name="Z_91950569_3719_458D_B0AB_7E6F43EB965E_.wvu.FilterData" localSheetId="0" hidden="1">'2020-2022 год Приложение 3'!$A$15:$C$449</definedName>
    <definedName name="Z_91A2586C_D2E9_46B3_A562_A1873848785C_.wvu.FilterData" localSheetId="1" hidden="1">'2020-2022 год Приложение  4'!$A$14:$N$485</definedName>
    <definedName name="Z_920303D0_9410_40AF_BD6F_D7C67120C042_.wvu.FilterData" localSheetId="1" hidden="1">'2020-2022 год Приложение  4'!$A$14:$N$487</definedName>
    <definedName name="Z_920303D0_9410_40AF_BD6F_D7C67120C042_.wvu.FilterData" localSheetId="0" hidden="1">'2020-2022 год Приложение 3'!$A$14:$P$452</definedName>
    <definedName name="Z_92053A4E_9CDE_49B6_84E2_A66F9B55B321_.wvu.FilterData" localSheetId="1" hidden="1">'2020-2022 год Приложение  4'!$A$15:$D$476</definedName>
    <definedName name="Z_930DC81B_F54A_425A_9FB7_F214A7424670_.wvu.FilterData" localSheetId="1" hidden="1">'2020-2022 год Приложение  4'!$A$15:$N$476</definedName>
    <definedName name="Z_930DC81B_F54A_425A_9FB7_F214A7424670_.wvu.FilterData" localSheetId="0" hidden="1">'2020-2022 год Приложение 3'!$A$15:$H$449</definedName>
    <definedName name="Z_9541036F_F24B_4BFA_BA55_4F7E3FB4DC04_.wvu.FilterData" localSheetId="1" hidden="1">'2020-2022 год Приложение  4'!$A$14:$K$476</definedName>
    <definedName name="Z_9541036F_F24B_4BFA_BA55_4F7E3FB4DC04_.wvu.FilterData" localSheetId="0" hidden="1">'2020-2022 год Приложение 3'!$A$15:$H$449</definedName>
    <definedName name="Z_9550964E_D481_4054_9F8C_4344C60CDD4A_.wvu.FilterData" localSheetId="0" hidden="1">'2020-2022 год Приложение 3'!$A$14:$H$370</definedName>
    <definedName name="Z_95B72C2D_CC9A_400B_A011_7820247D03F7_.wvu.FilterData" localSheetId="1" hidden="1">'2020-2022 год Приложение  4'!$A$15:$K$476</definedName>
    <definedName name="Z_95F78D10_2659_4A49_94A4_C59BF4D5E56F_.wvu.FilterData" localSheetId="1" hidden="1">'2020-2022 год Приложение  4'!$A$14:$N$486</definedName>
    <definedName name="Z_95F78D10_2659_4A49_94A4_C59BF4D5E56F_.wvu.FilterData" localSheetId="0" hidden="1">'2020-2022 год Приложение 3'!$A$14:$P$452</definedName>
    <definedName name="Z_9776ED21_FCCA_4C70_8D58_B20AFA9E14C0_.wvu.FilterData" localSheetId="1" hidden="1">'2020-2022 год Приложение  4'!$A$14:$N$487</definedName>
    <definedName name="Z_9776ED21_FCCA_4C70_8D58_B20AFA9E14C0_.wvu.FilterData" localSheetId="0" hidden="1">'2020-2022 год Приложение 3'!$A$14:$P$452</definedName>
    <definedName name="Z_98E9C9B7_1E4D_4C7A_85E5_63F3A1B86AE8_.wvu.FilterData" localSheetId="1" hidden="1">'2020-2022 год Приложение  4'!$A$14:$N$485</definedName>
    <definedName name="Z_98E9C9B7_1E4D_4C7A_85E5_63F3A1B86AE8_.wvu.FilterData" localSheetId="0" hidden="1">'2020-2022 год Приложение 3'!$A$14:$P$452</definedName>
    <definedName name="Z_9914A7EE_0EAB_42A1_82E0_3CEAC7F53865_.wvu.FilterData" localSheetId="1" hidden="1">'2020-2022 год Приложение  4'!$A$14:$N$486</definedName>
    <definedName name="Z_99FC1EBF_330F_4547_9164_04873F60525E_.wvu.FilterData" localSheetId="1" hidden="1">'2020-2022 год Приложение  4'!$A$14:$N$487</definedName>
    <definedName name="Z_99FC1EBF_330F_4547_9164_04873F60525E_.wvu.FilterData" localSheetId="0" hidden="1">'2020-2022 год Приложение 3'!$A$14:$P$452</definedName>
    <definedName name="Z_9AB446FD_945D_4029_AB03_06573FC1DEBE_.wvu.FilterData" localSheetId="1" hidden="1">'2020-2022 год Приложение  4'!$A$15:$N$476</definedName>
    <definedName name="Z_9AB446FD_945D_4029_AB03_06573FC1DEBE_.wvu.FilterData" localSheetId="0" hidden="1">'2020-2022 год Приложение 3'!$A$15:$H$449</definedName>
    <definedName name="Z_9B8BCBB1_0EDA_4E90_BBC4_165B2DE61ED6_.wvu.FilterData" localSheetId="0" hidden="1">'2020-2022 год Приложение 3'!$A$16:$H$370</definedName>
    <definedName name="Z_9BBC64C1_B8B2_47D2_A55F_A2F18B1F25B3_.wvu.FilterData" localSheetId="1" hidden="1">'2020-2022 год Приложение  4'!$A$14:$K$476</definedName>
    <definedName name="Z_9BBC64C1_B8B2_47D2_A55F_A2F18B1F25B3_.wvu.FilterData" localSheetId="0" hidden="1">'2020-2022 год Приложение 3'!$A$15:$C$449</definedName>
    <definedName name="Z_9DA27F9D_67A1_4DD1_8B09_A27C85D1E3A8_.wvu.FilterData" localSheetId="0" hidden="1">'2020-2022 год Приложение 3'!$A$15:$H$449</definedName>
    <definedName name="Z_9E25EEB0_68DE_4D84_AA9E_E153DF655F3F_.wvu.FilterData" localSheetId="1" hidden="1">'2020-2022 год Приложение  4'!$A$15:$D$476</definedName>
    <definedName name="Z_9EA355AC_ACF5_42D1_8703_ACB42E575811_.wvu.FilterData" localSheetId="1" hidden="1">'2020-2022 год Приложение  4'!$A$14:$K$476</definedName>
    <definedName name="Z_9EA355AC_ACF5_42D1_8703_ACB42E575811_.wvu.FilterData" localSheetId="0" hidden="1">'2020-2022 год Приложение 3'!$A$14:$H$449</definedName>
    <definedName name="Z_9EE5CA45_63F7_469B_B5F6_ADDF05EA3BC4_.wvu.FilterData" localSheetId="1" hidden="1">'2020-2022 год Приложение  4'!$A$15:$K$476</definedName>
    <definedName name="Z_9F1D7F01_07CC_4860_B0F3_FACC91FB0B8B_.wvu.FilterData" localSheetId="0" hidden="1">'2020-2022 год Приложение 3'!$A$16:$C$339</definedName>
    <definedName name="Z_9FED5B58_6DFB_4AED_9587_48FFDBC76219_.wvu.FilterData" localSheetId="1" hidden="1">'2020-2022 год Приложение  4'!$A$15:$D$476</definedName>
    <definedName name="Z_A19698F4_0C5B_4B92_B970_672ECC4A1352_.wvu.FilterData" localSheetId="1" hidden="1">'2020-2022 год Приложение  4'!$A$15:$D$476</definedName>
    <definedName name="Z_A19698F4_0C5B_4B92_B970_672ECC4A1352_.wvu.FilterData" localSheetId="0" hidden="1">'2020-2022 год Приложение 3'!$A$15:$H$449</definedName>
    <definedName name="Z_A23DBEB3_CF4F_4D6E_8207_D1E6A46A53CD_.wvu.FilterData" localSheetId="1" hidden="1">'2020-2022 год Приложение  4'!$A$15:$D$476</definedName>
    <definedName name="Z_A23DBEB3_CF4F_4D6E_8207_D1E6A46A53CD_.wvu.FilterData" localSheetId="0" hidden="1">'2020-2022 год Приложение 3'!$A$15:$H$449</definedName>
    <definedName name="Z_A2B31C78_84DB_47B8_A0ED_D9E400FC5E11_.wvu.FilterData" localSheetId="1" hidden="1">'2020-2022 год Приложение  4'!$A$15:$K$476</definedName>
    <definedName name="Z_A2B31C78_84DB_47B8_A0ED_D9E400FC5E11_.wvu.FilterData" localSheetId="0" hidden="1">'2020-2022 год Приложение 3'!$A$15:$H$449</definedName>
    <definedName name="Z_A2C96576_7AB3_44D9_A229_7E94A8E04F2E_.wvu.FilterData" localSheetId="1" hidden="1">'2020-2022 год Приложение  4'!$A$15:$N$476</definedName>
    <definedName name="Z_A3FFE833_C277_454E_9166_7F07320E9FFD_.wvu.FilterData" localSheetId="1" hidden="1">'2020-2022 год Приложение  4'!$A$14:$N$486</definedName>
    <definedName name="Z_A650396F_79B4_4B7C_9702_43CBED7DB898_.wvu.FilterData" localSheetId="1" hidden="1">'2020-2022 год Приложение  4'!$A$15:$K$476</definedName>
    <definedName name="Z_A684CA47_13FA_440D_A6B3_84C0D9EBAF01_.wvu.FilterData" localSheetId="1" hidden="1">'2020-2022 год Приложение  4'!$A$14:$N$487</definedName>
    <definedName name="Z_A6EDA6AB_892A_41FC_80E6_005AF0ECC3B0_.wvu.FilterData" localSheetId="1" hidden="1">'2020-2022 год Приложение  4'!$A$16:$K$476</definedName>
    <definedName name="Z_A6EDA6AB_892A_41FC_80E6_005AF0ECC3B0_.wvu.FilterData" localSheetId="0" hidden="1">'2020-2022 год Приложение 3'!$A$15:$H$449</definedName>
    <definedName name="Z_A7289A43_FAB0_4BBF_BE44_1FE7F38D66E2_.wvu.FilterData" localSheetId="0" hidden="1">'2020-2022 год Приложение 3'!$A$16:$C$339</definedName>
    <definedName name="Z_A78453D7_4783_4203_A315_20143C6D7080_.wvu.FilterData" localSheetId="0" hidden="1">'2020-2022 год Приложение 3'!$A$15:$H$449</definedName>
    <definedName name="Z_A7AB68EB_0C36_44AC_AFA4_D4EEDD6F2587_.wvu.FilterData" localSheetId="1" hidden="1">'2020-2022 год Приложение  4'!$A$15:$D$476</definedName>
    <definedName name="Z_A926D13F_0B0D_4E83_9405_D363E37D0348_.wvu.FilterData" localSheetId="0" hidden="1">'2020-2022 год Приложение 3'!$A$16:$C$339</definedName>
    <definedName name="Z_A9E291C5_5EEB_4FD7_BCBD_6208C6D7B0F8_.wvu.FilterData" localSheetId="1" hidden="1">'2020-2022 год Приложение  4'!$A$15:$D$476</definedName>
    <definedName name="Z_A9E291C5_5EEB_4FD7_BCBD_6208C6D7B0F8_.wvu.FilterData" localSheetId="0" hidden="1">'2020-2022 год Приложение 3'!$A$15:$H$449</definedName>
    <definedName name="Z_AA16F632_03F0_4A4A_8637_308586BF1014_.wvu.FilterData" localSheetId="1" hidden="1">'2020-2022 год Приложение  4'!$A$15:$N$476</definedName>
    <definedName name="Z_AA16F632_03F0_4A4A_8637_308586BF1014_.wvu.FilterData" localSheetId="0" hidden="1">'2020-2022 год Приложение 3'!$A$15:$H$449</definedName>
    <definedName name="Z_AA6057EE_23A0_4CF2_AC5C_D8F8A8ADD056_.wvu.FilterData" localSheetId="1" hidden="1">'2020-2022 год Приложение  4'!$A$15:$N$476</definedName>
    <definedName name="Z_AAC793E5_144D_410A_8279_F7946D2AF41A_.wvu.FilterData" localSheetId="0" hidden="1">'2020-2022 год Приложение 3'!$A$16:$C$339</definedName>
    <definedName name="Z_AC409584_A196_49FC_BDC2_CC1BE8FBC165_.wvu.FilterData" localSheetId="1" hidden="1">'2020-2022 год Приложение  4'!$A$14:$N$486</definedName>
    <definedName name="Z_AC409584_A196_49FC_BDC2_CC1BE8FBC165_.wvu.FilterData" localSheetId="0" hidden="1">'2020-2022 год Приложение 3'!$A$14:$P$452</definedName>
    <definedName name="Z_AC48D3A8_B7CA_451A_A38E_67C9ECA74CDF_.wvu.FilterData" localSheetId="1" hidden="1">'2020-2022 год Приложение  4'!$A$14:$N$487</definedName>
    <definedName name="Z_AC48D3A8_B7CA_451A_A38E_67C9ECA74CDF_.wvu.FilterData" localSheetId="0" hidden="1">'2020-2022 год Приложение 3'!$A$14:$P$452</definedName>
    <definedName name="Z_AC9AFD28_10D8_4670_A912_DDB893A211D1_.wvu.FilterData" localSheetId="1" hidden="1">'2020-2022 год Приложение  4'!$A$15:$K$476</definedName>
    <definedName name="Z_AC9AFD28_10D8_4670_A912_DDB893A211D1_.wvu.FilterData" localSheetId="0" hidden="1">'2020-2022 год Приложение 3'!$A$15:$H$449</definedName>
    <definedName name="Z_AE730581_F9A0_4649_A160_E986DBCDA19C_.wvu.FilterData" localSheetId="1" hidden="1">'2020-2022 год Приложение  4'!$A$14:$K$476</definedName>
    <definedName name="Z_AE730581_F9A0_4649_A160_E986DBCDA19C_.wvu.FilterData" localSheetId="0" hidden="1">'2020-2022 год Приложение 3'!$A$14:$H$449</definedName>
    <definedName name="Z_AEAAA827_A478_40B0_A7FF_D15F11FB2E21_.wvu.FilterData" localSheetId="1" hidden="1">'2020-2022 год Приложение  4'!$A$14:$N$487</definedName>
    <definedName name="Z_AF73B45C_3F4E_4B87_A9E2_DBD75C02FF68_.wvu.FilterData" localSheetId="1" hidden="1">'2020-2022 год Приложение  4'!$A$15:$D$476</definedName>
    <definedName name="Z_AF73B45C_3F4E_4B87_A9E2_DBD75C02FF68_.wvu.FilterData" localSheetId="0" hidden="1">'2020-2022 год Приложение 3'!$A$15:$C$449</definedName>
    <definedName name="Z_B08CC75C_6520_459E_99DC_BAAC09133FAE_.wvu.FilterData" localSheetId="1" hidden="1">'2020-2022 год Приложение  4'!$A$14:$N$487</definedName>
    <definedName name="Z_B08CC75C_6520_459E_99DC_BAAC09133FAE_.wvu.FilterData" localSheetId="0" hidden="1">'2020-2022 год Приложение 3'!$A$14:$P$452</definedName>
    <definedName name="Z_B0C8B420_7FC9_4415_952A_23BA0049B056_.wvu.FilterData" localSheetId="0" hidden="1">'2020-2022 год Приложение 3'!$A$15:$H$449</definedName>
    <definedName name="Z_B125367F_1C96_4D35_827A_DEFEE1EF481C_.wvu.FilterData" localSheetId="1" hidden="1">'2020-2022 год Приложение  4'!$A$15:$D$476</definedName>
    <definedName name="Z_B2BE6FF1_1A6A_41C1_B750_4A039DB9402A_.wvu.FilterData" localSheetId="1" hidden="1">'2020-2022 год Приложение  4'!$A$14:$N$486</definedName>
    <definedName name="Z_B4720A5E_D111_4DAF_9BEC_44A0CF0E4C3E_.wvu.FilterData" localSheetId="1" hidden="1">'2020-2022 год Приложение  4'!$A$14:$N$486</definedName>
    <definedName name="Z_B55F0053_78CA_4F7F_BE68_6C331A853EC7_.wvu.FilterData" localSheetId="1" hidden="1">'2020-2022 год Приложение  4'!$A$16:$K$476</definedName>
    <definedName name="Z_B5E7EAA6_F6B2_4C43_A1B2_7FE8D3EE81A8_.wvu.FilterData" localSheetId="1" hidden="1">'2020-2022 год Приложение  4'!$A$15:$D$476</definedName>
    <definedName name="Z_B5E7EAA6_F6B2_4C43_A1B2_7FE8D3EE81A8_.wvu.FilterData" localSheetId="0" hidden="1">'2020-2022 год Приложение 3'!$A$15:$H$449</definedName>
    <definedName name="Z_B6562E8F_88DB_497F_BA23_0DE6FC564B31_.wvu.FilterData" localSheetId="1" hidden="1">'2020-2022 год Приложение  4'!$A$15:$N$476</definedName>
    <definedName name="Z_B79814D9_4A76_444F_9DA0_87988C6053D6_.wvu.FilterData" localSheetId="0" hidden="1">'2020-2022 год Приложение 3'!$A$15:$H$449</definedName>
    <definedName name="Z_B7C6B096_F822_4AE0_9104_276895CD530C_.wvu.FilterData" localSheetId="1" hidden="1">'2020-2022 год Приложение  4'!$A$14:$K$14</definedName>
    <definedName name="Z_B7E8C950_FC48_4F46_94EB_50E3D7BDDB48_.wvu.FilterData" localSheetId="1" hidden="1">'2020-2022 год Приложение  4'!$A$15:$D$476</definedName>
    <definedName name="Z_B8EDFF0D_BD56_41DB_976F_5ECF9742594D_.wvu.FilterData" localSheetId="1" hidden="1">'2020-2022 год Приложение  4'!$A$14:$N$487</definedName>
    <definedName name="Z_B9062BA9_20A5_4989_AABF_19FE6A65537B_.wvu.FilterData" localSheetId="1" hidden="1">'2020-2022 год Приложение  4'!$A$15:$K$476</definedName>
    <definedName name="Z_B9062BA9_20A5_4989_AABF_19FE6A65537B_.wvu.FilterData" localSheetId="0" hidden="1">'2020-2022 год Приложение 3'!$A$15:$H$449</definedName>
    <definedName name="Z_BA317F1F_BE01_441F_A8B2_85F003BF75B2_.wvu.FilterData" localSheetId="1" hidden="1">'2020-2022 год Приложение  4'!$A$14:$K$476</definedName>
    <definedName name="Z_BAD29CC1_017D_4FFA_A3BF_7A1E31D01FD0_.wvu.FilterData" localSheetId="1" hidden="1">'2020-2022 год Приложение  4'!$A$14:$N$487</definedName>
    <definedName name="Z_BBFF5A56_64CF_4223_9245_057727E8F581_.wvu.FilterData" localSheetId="1" hidden="1">'2020-2022 год Приложение  4'!$A$15:$D$476</definedName>
    <definedName name="Z_BBFF5A56_64CF_4223_9245_057727E8F581_.wvu.FilterData" localSheetId="0" hidden="1">'2020-2022 год Приложение 3'!$A$15:$H$449</definedName>
    <definedName name="Z_BCB9EA5D_CB3A_40AA_BF75_F228AA2D84CC_.wvu.FilterData" localSheetId="1" hidden="1">'2020-2022 год Приложение  4'!$A$15:$D$476</definedName>
    <definedName name="Z_BCB9EA5D_CB3A_40AA_BF75_F228AA2D84CC_.wvu.FilterData" localSheetId="0" hidden="1">'2020-2022 год Приложение 3'!$A$15:$H$449</definedName>
    <definedName name="Z_BCEB75BA_FE87_41C8_80D7_AFB8A63EA641_.wvu.FilterData" localSheetId="1" hidden="1">'2020-2022 год Приложение  4'!$A$15:$N$476</definedName>
    <definedName name="Z_BD54A361_8DC5_477E_AEB8_9AAE45BFB9EE_.wvu.FilterData" localSheetId="1" hidden="1">'2020-2022 год Приложение  4'!$A$15:$D$476</definedName>
    <definedName name="Z_C0C47C63_1E7E_4B25_A29F_CD7550CA823B_.wvu.FilterData" localSheetId="0" hidden="1">'2020-2022 год Приложение 3'!$A$14:$H$370</definedName>
    <definedName name="Z_C0D29360_FD13_4973_8E33_952A22BF16EB_.wvu.FilterData" localSheetId="1" hidden="1">'2020-2022 год Приложение  4'!$A$15:$D$15</definedName>
    <definedName name="Z_C1DDAE5D_89BA_4C96_A938_93F9E8D51819_.wvu.FilterData" localSheetId="1" hidden="1">'2020-2022 год Приложение  4'!$A$15:$D$15</definedName>
    <definedName name="Z_C2DC1AAD_1A3D_4B7B_8D2B_551AC59D6585_.wvu.FilterData" localSheetId="1" hidden="1">'2020-2022 год Приложение  4'!$A$15:$D$476</definedName>
    <definedName name="Z_C407E330_1B3A_4158_9E62_5ED9582C72C0_.wvu.FilterData" localSheetId="1" hidden="1">'2020-2022 год Приложение  4'!$A$16:$K$476</definedName>
    <definedName name="Z_C594D5C5_096D_4C18_BDCB_87F0485F5449_.wvu.FilterData" localSheetId="1" hidden="1">'2020-2022 год Приложение  4'!$A$16:$K$476</definedName>
    <definedName name="Z_C594D5C5_096D_4C18_BDCB_87F0485F5449_.wvu.FilterData" localSheetId="0" hidden="1">'2020-2022 год Приложение 3'!$A$15:$H$449</definedName>
    <definedName name="Z_C63DF42A_916D_43B0_A9E5_99FBCC943E02_.wvu.FilterData" localSheetId="0" hidden="1">'2020-2022 год Приложение 3'!$A$16:$H$370</definedName>
    <definedName name="Z_C6C561F1_23DA_4564_A66A_06C65CDB6B42_.wvu.FilterData" localSheetId="1" hidden="1">'2020-2022 год Приложение  4'!$A$15:$N$476</definedName>
    <definedName name="Z_C9208FB7_BF46_4777_ADFF_D59A4811FEA6_.wvu.FilterData" localSheetId="1" hidden="1">'2020-2022 год Приложение  4'!$A$14:$N$485</definedName>
    <definedName name="Z_CA26A0F4_943F_4D04_8E22_7943168C3B0E_.wvu.FilterData" localSheetId="1" hidden="1">'2020-2022 год Приложение  4'!$A$15:$N$476</definedName>
    <definedName name="Z_CA26A0F4_943F_4D04_8E22_7943168C3B0E_.wvu.FilterData" localSheetId="0" hidden="1">'2020-2022 год Приложение 3'!$A$15:$H$449</definedName>
    <definedName name="Z_CAD9B980_130C_4C75_8D5E_91DE2723F8D9_.wvu.FilterData" localSheetId="1" hidden="1">'2020-2022 год Приложение  4'!$A$14:$N$486</definedName>
    <definedName name="Z_CAEC251A_F30C_4C3C_B95E_0CDCABBBBBA6_.wvu.FilterData" localSheetId="1" hidden="1">'2020-2022 год Приложение  4'!$A$14:$K$476</definedName>
    <definedName name="Z_CAEC251A_F30C_4C3C_B95E_0CDCABBBBBA6_.wvu.FilterData" localSheetId="0" hidden="1">'2020-2022 год Приложение 3'!$A$14:$H$449</definedName>
    <definedName name="Z_CB37C154_FBD2_4DEC_B34C_F8AEB86FD5EB_.wvu.FilterData" localSheetId="0" hidden="1">'2020-2022 год Приложение 3'!$A$15:$H$449</definedName>
    <definedName name="Z_CD2CCFCC_88E6_48CB_A6F4_90932EB4E776_.wvu.FilterData" localSheetId="0" hidden="1">'2020-2022 год Приложение 3'!$A$14:$P$452</definedName>
    <definedName name="Z_CD629787_DE9E_41E9_98D2_872390B88852_.wvu.FilterData" localSheetId="1" hidden="1">'2020-2022 год Приложение  4'!$A$15:$D$476</definedName>
    <definedName name="Z_CE6755E8_8FFD_448B_B838_FFE6BD017EDF_.wvu.FilterData" localSheetId="1" hidden="1">'2020-2022 год Приложение  4'!$A$15:$D$476</definedName>
    <definedName name="Z_CED2E9B6_1773_495E_A3FD_92F54F21EE7D_.wvu.FilterData" localSheetId="1" hidden="1">'2020-2022 год Приложение  4'!$A$14:$K$476</definedName>
    <definedName name="Z_CF7852E9_12A8_41A3_B1FA_248F70E5DC37_.wvu.FilterData" localSheetId="1" hidden="1">'2020-2022 год Приложение  4'!$A$14:$K$476</definedName>
    <definedName name="Z_CF7852E9_12A8_41A3_B1FA_248F70E5DC37_.wvu.FilterData" localSheetId="0" hidden="1">'2020-2022 год Приложение 3'!$A$14:$H$449</definedName>
    <definedName name="Z_CFA27E48_EF86_47F4_863F_538AA3EEF788_.wvu.FilterData" localSheetId="1" hidden="1">'2020-2022 год Приложение  4'!$A$14:$N$486</definedName>
    <definedName name="Z_CFA27E48_EF86_47F4_863F_538AA3EEF788_.wvu.FilterData" localSheetId="0" hidden="1">'2020-2022 год Приложение 3'!$A$14:$P$452</definedName>
    <definedName name="Z_D1B917BC_3220_432E_A965_9E7239D6A385_.wvu.FilterData" localSheetId="0" hidden="1">'2020-2022 год Приложение 3'!$A$15:$H$370</definedName>
    <definedName name="Z_D332CE7B_8FED_469E_B7FC_36551D17288B_.wvu.FilterData" localSheetId="1" hidden="1">'2020-2022 год Приложение  4'!$A$14:$N$486</definedName>
    <definedName name="Z_D332CE7B_8FED_469E_B7FC_36551D17288B_.wvu.FilterData" localSheetId="0" hidden="1">'2020-2022 год Приложение 3'!$A$14:$P$452</definedName>
    <definedName name="Z_D421EC68_493A_426D_B030_A96CEFC9CDF1_.wvu.FilterData" localSheetId="1" hidden="1">'2020-2022 год Приложение  4'!$A$14:$N$486</definedName>
    <definedName name="Z_D421EC68_493A_426D_B030_A96CEFC9CDF1_.wvu.FilterData" localSheetId="0" hidden="1">'2020-2022 год Приложение 3'!$A$14:$P$452</definedName>
    <definedName name="Z_D5EF0624_71F9_4E2C_8E53_8D3ED1028A48_.wvu.FilterData" localSheetId="1" hidden="1">'2020-2022 год Приложение  4'!$A$14:$N$486</definedName>
    <definedName name="Z_D5FAF748_0D0C_4359_BAF7_A8AC21E2030F_.wvu.FilterData" localSheetId="0" hidden="1">'2020-2022 год Приложение 3'!$A$15:$H$449</definedName>
    <definedName name="Z_D6B20A4C_3000_441D_8208_F24778DE96F0_.wvu.FilterData" localSheetId="1" hidden="1">'2020-2022 год Приложение  4'!$A$15:$N$476</definedName>
    <definedName name="Z_D7D5F00E_6389_4DE2_B414_F39C8294F181_.wvu.FilterData" localSheetId="1" hidden="1">'2020-2022 год Приложение  4'!$A$15:$N$485</definedName>
    <definedName name="Z_D7D5F00E_6389_4DE2_B414_F39C8294F181_.wvu.FilterData" localSheetId="0" hidden="1">'2020-2022 год Приложение 3'!$A$15:$H$452</definedName>
    <definedName name="Z_D7D5F00E_6389_4DE2_B414_F39C8294F181_.wvu.PrintArea" localSheetId="1" hidden="1">'2020-2022 год Приложение  4'!$A$6:$I$485</definedName>
    <definedName name="Z_D7D5F00E_6389_4DE2_B414_F39C8294F181_.wvu.PrintArea" localSheetId="0" hidden="1">'2020-2022 год Приложение 3'!$A$6:$H$452</definedName>
    <definedName name="Z_D7D5F00E_6389_4DE2_B414_F39C8294F181_.wvu.Rows" localSheetId="1" hidden="1">'2020-2022 год Приложение  4'!#REF!,'2020-2022 год Приложение  4'!#REF!</definedName>
    <definedName name="Z_D896FC5A_220E_437B_9865_C5F08B72A8E9_.wvu.FilterData" localSheetId="1" hidden="1">'2020-2022 год Приложение  4'!$A$14:$N$485</definedName>
    <definedName name="Z_DA0D119F_FE1B_486D_AB08_72CEBEF8134D_.wvu.FilterData" localSheetId="1" hidden="1">'2020-2022 год Приложение  4'!$A$15:$N$485</definedName>
    <definedName name="Z_DA0D119F_FE1B_486D_AB08_72CEBEF8134D_.wvu.FilterData" localSheetId="0" hidden="1">'2020-2022 год Приложение 3'!$A$15:$H$452</definedName>
    <definedName name="Z_DA10F9D2_08DA_4FB8_967C_06A319AB7BED_.wvu.FilterData" localSheetId="1" hidden="1">'2020-2022 год Приложение  4'!$A$15:$D$476</definedName>
    <definedName name="Z_DA9CA7EB_CE82_4121_9528_DE61DCF62070_.wvu.FilterData" localSheetId="1" hidden="1">'2020-2022 год Приложение  4'!$A$15:$N$485</definedName>
    <definedName name="Z_DC2B6D6A_5855_4ADC_BC8B_920453EADA59_.wvu.FilterData" localSheetId="1" hidden="1">'2020-2022 год Приложение  4'!$A$15:$N$476</definedName>
    <definedName name="Z_DC2B6D6A_5855_4ADC_BC8B_920453EADA59_.wvu.FilterData" localSheetId="0" hidden="1">'2020-2022 год Приложение 3'!$A$15:$H$449</definedName>
    <definedName name="Z_DC642106_6C11_487B_A10A_67D65C44C59E_.wvu.FilterData" localSheetId="1" hidden="1">'2020-2022 год Приложение  4'!$A$15:$D$476</definedName>
    <definedName name="Z_DCF96CC6_5C5B_45A8_86D6_BEC596ACACBF_.wvu.FilterData" localSheetId="1" hidden="1">'2020-2022 год Приложение  4'!$A$14:$N$487</definedName>
    <definedName name="Z_DCF96CC6_5C5B_45A8_86D6_BEC596ACACBF_.wvu.FilterData" localSheetId="0" hidden="1">'2020-2022 год Приложение 3'!$A$14:$P$452</definedName>
    <definedName name="Z_DD0B6CDA_0CA4_4F8A_901A_ADCD63EDDDE7_.wvu.FilterData" localSheetId="1" hidden="1">'2020-2022 год Приложение  4'!$A$14:$N$485</definedName>
    <definedName name="Z_DD3E849F_1E69_44B8_A26B_C4303C0995B8_.wvu.FilterData" localSheetId="1" hidden="1">'2020-2022 год Приложение  4'!$A$14:$N$486</definedName>
    <definedName name="Z_DDD8C4AB_CB3C_48E6_9763_42557181A0AF_.wvu.FilterData" localSheetId="1" hidden="1">'2020-2022 год Приложение  4'!$A$14:$N$486</definedName>
    <definedName name="Z_DDD8C4AB_CB3C_48E6_9763_42557181A0AF_.wvu.FilterData" localSheetId="0" hidden="1">'2020-2022 год Приложение 3'!$A$14:$P$452</definedName>
    <definedName name="Z_DEE0439B_F189_4C4A_8D12_38A34AC49EBA_.wvu.FilterData" localSheetId="1" hidden="1">'2020-2022 год Приложение  4'!$A$15:$N$476</definedName>
    <definedName name="Z_DEE0439B_F189_4C4A_8D12_38A34AC49EBA_.wvu.FilterData" localSheetId="0" hidden="1">'2020-2022 год Приложение 3'!$A$15:$H$449</definedName>
    <definedName name="Z_DF131833_6B4D_4544_961B_059267821E4F_.wvu.FilterData" localSheetId="0" hidden="1">'2020-2022 год Приложение 3'!$A$14:$P$452</definedName>
    <definedName name="Z_E12E1E2F_DB5D_4E26_AA0F_64A30D7CB250_.wvu.FilterData" localSheetId="1" hidden="1">'2020-2022 год Приложение  4'!$A$15:$N$476</definedName>
    <definedName name="Z_E240582D_2C49_4E51_9BAF_4EB73E148DD3_.wvu.FilterData" localSheetId="1" hidden="1">'2020-2022 год Приложение  4'!$A$14:$N$485</definedName>
    <definedName name="Z_E240582D_2C49_4E51_9BAF_4EB73E148DD3_.wvu.FilterData" localSheetId="0" hidden="1">'2020-2022 год Приложение 3'!$A$14:$P$452</definedName>
    <definedName name="Z_E3C6713E_8023_4AA9_8A29_3AE879C33232_.wvu.FilterData" localSheetId="1" hidden="1">'2020-2022 год Приложение  4'!$A$15:$D$476</definedName>
    <definedName name="Z_E5281637_3B26_479E_BF0F_EBD3A6ED1870_.wvu.FilterData" localSheetId="1" hidden="1">'2020-2022 год Приложение  4'!$A$14:$K$476</definedName>
    <definedName name="Z_E5281637_3B26_479E_BF0F_EBD3A6ED1870_.wvu.FilterData" localSheetId="0" hidden="1">'2020-2022 год Приложение 3'!$A$14:$H$449</definedName>
    <definedName name="Z_E990C79A_B7E6_4BEB_A0C0_67D434423C16_.wvu.FilterData" localSheetId="1" hidden="1">'2020-2022 год Приложение  4'!$A$14:$N$486</definedName>
    <definedName name="Z_E99CA35F_295B_49B3_8AA9_D1FBDEF4F038_.wvu.FilterData" localSheetId="1" hidden="1">'2020-2022 год Приложение  4'!$A$15:$D$476</definedName>
    <definedName name="Z_E99CA35F_295B_49B3_8AA9_D1FBDEF4F038_.wvu.FilterData" localSheetId="0" hidden="1">'2020-2022 год Приложение 3'!$A$15:$C$449</definedName>
    <definedName name="Z_EA7E325E_E9C4_43C2_8F94_8A4CD3295385_.wvu.FilterData" localSheetId="1" hidden="1">'2020-2022 год Приложение  4'!$A$14:$K$476</definedName>
    <definedName name="Z_EA7E325E_E9C4_43C2_8F94_8A4CD3295385_.wvu.FilterData" localSheetId="0" hidden="1">'2020-2022 год Приложение 3'!$A$14:$H$449</definedName>
    <definedName name="Z_EA7E325E_E9C4_43C2_8F94_8A4CD3295385_.wvu.PrintArea" localSheetId="1" hidden="1">'2020-2022 год Приложение  4'!$A$10:$D$476</definedName>
    <definedName name="Z_EA7E325E_E9C4_43C2_8F94_8A4CD3295385_.wvu.PrintArea" localSheetId="0" hidden="1">'2020-2022 год Приложение 3'!$A$11:$C$449</definedName>
    <definedName name="Z_EA7E325E_E9C4_43C2_8F94_8A4CD3295385_.wvu.Rows" localSheetId="1" hidden="1">'2020-2022 год Приложение  4'!#REF!,'2020-2022 год Приложение  4'!#REF!</definedName>
    <definedName name="Z_EA8E9EA7_8D3C_4793_82D3_53C8283F6613_.wvu.FilterData" localSheetId="1" hidden="1">'2020-2022 год Приложение  4'!$A$15:$D$476</definedName>
    <definedName name="Z_EA8E9EA7_8D3C_4793_82D3_53C8283F6613_.wvu.FilterData" localSheetId="0" hidden="1">'2020-2022 год Приложение 3'!$A$15:$C$449</definedName>
    <definedName name="Z_EB1F9754_81A4_4300_9136_C4584DE5BB80_.wvu.FilterData" localSheetId="1" hidden="1">'2020-2022 год Приложение  4'!$A$16:$K$476</definedName>
    <definedName name="Z_EB1F9754_81A4_4300_9136_C4584DE5BB80_.wvu.FilterData" localSheetId="0" hidden="1">'2020-2022 год Приложение 3'!$A$15:$H$449</definedName>
    <definedName name="Z_EB8BBF6B_ABBD_4A01_B4CD_F80BF70D79AB_.wvu.FilterData" localSheetId="1" hidden="1">'2020-2022 год Приложение  4'!$A$15:$D$476</definedName>
    <definedName name="Z_EB902B7F_40F5_460F_ABE7_94D27697DCD2_.wvu.FilterData" localSheetId="1" hidden="1">'2020-2022 год Приложение  4'!$A$14:$N$487</definedName>
    <definedName name="Z_EC1C063C_6B0A_462C_AA57_E835F386C4D8_.wvu.FilterData" localSheetId="1" hidden="1">'2020-2022 год Приложение  4'!$A$15:$K$476</definedName>
    <definedName name="Z_EC62E557_0DAE_4118_92A6_3EE6AFDCD76F_.wvu.FilterData" localSheetId="1" hidden="1">'2020-2022 год Приложение  4'!$A$15:$N$476</definedName>
    <definedName name="Z_EC9FAB42_CFD7_4909_BE7F_FD2C891BCFAA_.wvu.FilterData" localSheetId="1" hidden="1">'2020-2022 год Приложение  4'!$A$14:$N$487</definedName>
    <definedName name="Z_ED7D03B9_EBA8_422D_9F4A_BBCCD5E098E3_.wvu.FilterData" localSheetId="0" hidden="1">'2020-2022 год Приложение 3'!$A$15:$H$449</definedName>
    <definedName name="Z_EE33F828_B63A_481B_8687_E404D78A8D56_.wvu.FilterData" localSheetId="1" hidden="1">'2020-2022 год Приложение  4'!$A$15:$N$476</definedName>
    <definedName name="Z_EE33F828_B63A_481B_8687_E404D78A8D56_.wvu.FilterData" localSheetId="0" hidden="1">'2020-2022 год Приложение 3'!$A$15:$H$449</definedName>
    <definedName name="Z_EE53859B_FE05_4C3A_A7A2_3194FEB77133_.wvu.FilterData" localSheetId="1" hidden="1">'2020-2022 год Приложение  4'!$A$14:$N$487</definedName>
    <definedName name="Z_EE53859B_FE05_4C3A_A7A2_3194FEB77133_.wvu.FilterData" localSheetId="0" hidden="1">'2020-2022 год Приложение 3'!$A$14:$P$452</definedName>
    <definedName name="Z_EEC30518_9714_4AA4_827B_01087315CFA0_.wvu.FilterData" localSheetId="1" hidden="1">'2020-2022 год Приложение  4'!$A$14:$N$486</definedName>
    <definedName name="Z_EF28A7F6_07C1_44F5_95B6_7AF15BBCE0BC_.wvu.FilterData" localSheetId="1" hidden="1">'2020-2022 год Приложение  4'!$A$14:$N$487</definedName>
    <definedName name="Z_EF28A7F6_07C1_44F5_95B6_7AF15BBCE0BC_.wvu.FilterData" localSheetId="0" hidden="1">'2020-2022 год Приложение 3'!$A$14:$P$452</definedName>
    <definedName name="Z_EFF178E8_C8AC_47EC_827A_692B15ACBD0B_.wvu.FilterData" localSheetId="1" hidden="1">'2020-2022 год Приложение  4'!$A$15:$N$476</definedName>
    <definedName name="Z_F09B2707_B73D_4942_B4CA_A55AC32797B2_.wvu.FilterData" localSheetId="1" hidden="1">'2020-2022 год Приложение  4'!$A$15:$N$476</definedName>
    <definedName name="Z_F09B2707_B73D_4942_B4CA_A55AC32797B2_.wvu.FilterData" localSheetId="0" hidden="1">'2020-2022 год Приложение 3'!$A$15:$H$449</definedName>
    <definedName name="Z_F0AEB904_EDFD_4DA8_8E45_5B132DA87D24_.wvu.FilterData" localSheetId="1" hidden="1">'2020-2022 год Приложение  4'!$A$15:$D$476</definedName>
    <definedName name="Z_F1372657_B6AE_480B_8DA3_6532FF661EAB_.wvu.FilterData" localSheetId="1" hidden="1">'2020-2022 год Приложение  4'!$A$14:$N$486</definedName>
    <definedName name="Z_F1E5C7C7_BAE3_458A_84FB_35E70B388DF5_.wvu.FilterData" localSheetId="0" hidden="1">'2020-2022 год Приложение 3'!$A$16:$C$339</definedName>
    <definedName name="Z_F2D73FE4_6090_4823_9E0A_6635C4F688A6_.wvu.FilterData" localSheetId="1" hidden="1">'2020-2022 год Приложение  4'!$A$14:$N$486</definedName>
    <definedName name="Z_F2D73FE4_6090_4823_9E0A_6635C4F688A6_.wvu.FilterData" localSheetId="0" hidden="1">'2020-2022 год Приложение 3'!$A$14:$P$452</definedName>
    <definedName name="Z_F33373D5_C5C4_4F71_813A_379961506D46_.wvu.FilterData" localSheetId="0" hidden="1">'2020-2022 год Приложение 3'!$A$15:$H$449</definedName>
    <definedName name="Z_F3347612_A29B_4BB4_8F79_0B6F36DACEBB_.wvu.FilterData" localSheetId="1" hidden="1">'2020-2022 год Приложение  4'!$A$14:$K$476</definedName>
    <definedName name="Z_F3347612_A29B_4BB4_8F79_0B6F36DACEBB_.wvu.FilterData" localSheetId="0" hidden="1">'2020-2022 год Приложение 3'!$A$15:$H$449</definedName>
    <definedName name="Z_F3A2613F_3886_4231_B2F0_9C473830612B_.wvu.FilterData" localSheetId="1" hidden="1">'2020-2022 год Приложение  4'!$A$14:$N$487</definedName>
    <definedName name="Z_F3A2613F_3886_4231_B2F0_9C473830612B_.wvu.FilterData" localSheetId="0" hidden="1">'2020-2022 год Приложение 3'!$A$14:$P$452</definedName>
    <definedName name="Z_F3FBA5D4_522A_4E95_B407_653351A6F444_.wvu.FilterData" localSheetId="1" hidden="1">'2020-2022 год Приложение  4'!$A$15:$N$476</definedName>
    <definedName name="Z_F3FBA5D4_522A_4E95_B407_653351A6F444_.wvu.FilterData" localSheetId="0" hidden="1">'2020-2022 год Приложение 3'!$A$15:$H$449</definedName>
    <definedName name="Z_F5243B7A_D732_476C_80EE_A8F8DF8ABC14_.wvu.FilterData" localSheetId="1" hidden="1">'2020-2022 год Приложение  4'!$A$15:$N$485</definedName>
    <definedName name="Z_F5243B7A_D732_476C_80EE_A8F8DF8ABC14_.wvu.FilterData" localSheetId="0" hidden="1">'2020-2022 год Приложение 3'!$A$15:$H$452</definedName>
    <definedName name="Z_F6122843_35FD_4DE2_8960_1676DA0EFE93_.wvu.FilterData" localSheetId="0" hidden="1">'2020-2022 год Приложение 3'!$A$16:$C$339</definedName>
    <definedName name="Z_F77A56A8_A75D_4749_83E7_A46F30372FC7_.wvu.FilterData" localSheetId="0" hidden="1">'2020-2022 год Приложение 3'!$A$16:$C$339</definedName>
    <definedName name="Z_F83E4966_D4D0_48CB_AC08_347FD211344F_.wvu.FilterData" localSheetId="0" hidden="1">'2020-2022 год Приложение 3'!$A$15:$H$449</definedName>
    <definedName name="Z_F890EF21_D7E1_4A9B_9CE1_7F9B34521531_.wvu.FilterData" localSheetId="1" hidden="1">'2020-2022 год Приложение  4'!$A$15:$N$476</definedName>
    <definedName name="Z_F890EF21_D7E1_4A9B_9CE1_7F9B34521531_.wvu.FilterData" localSheetId="0" hidden="1">'2020-2022 год Приложение 3'!$A$15:$H$449</definedName>
    <definedName name="Z_F92366B3_1E4C_4F07_BE03_7D9A3E83484E_.wvu.FilterData" localSheetId="1" hidden="1">'2020-2022 год Приложение  4'!$A$14:$N$486</definedName>
    <definedName name="Z_F92366B3_1E4C_4F07_BE03_7D9A3E83484E_.wvu.FilterData" localSheetId="0" hidden="1">'2020-2022 год Приложение 3'!$A$14:$P$452</definedName>
    <definedName name="Z_F9510B3D_5733_4A2F_AD41_8D719DE08040_.wvu.FilterData" localSheetId="1" hidden="1">'2020-2022 год Приложение  4'!$A$15:$D$476</definedName>
    <definedName name="Z_F9510B3D_5733_4A2F_AD41_8D719DE08040_.wvu.FilterData" localSheetId="0" hidden="1">'2020-2022 год Приложение 3'!$A$15:$H$449</definedName>
    <definedName name="Z_F9510B3D_5733_4A2F_AD41_8D719DE08040_.wvu.PrintArea" localSheetId="1" hidden="1">'2020-2022 год Приложение  4'!$A$10:$D$476</definedName>
    <definedName name="Z_F9510B3D_5733_4A2F_AD41_8D719DE08040_.wvu.PrintArea" localSheetId="0" hidden="1">'2020-2022 год Приложение 3'!$A$11:$C$449</definedName>
    <definedName name="Z_FAC801BB_0465_4542_B993_A049D91D595D_.wvu.FilterData" localSheetId="1" hidden="1">'2020-2022 год Приложение  4'!$A$14:$N$486</definedName>
    <definedName name="Z_FAC801BB_0465_4542_B993_A049D91D595D_.wvu.FilterData" localSheetId="0" hidden="1">'2020-2022 год Приложение 3'!$A$14:$P$452</definedName>
    <definedName name="Z_FAEB8D12_6F02_4D2A_85DF_FFFD885E80DE_.wvu.FilterData" localSheetId="1" hidden="1">'2020-2022 год Приложение  4'!$A$15:$D$476</definedName>
    <definedName name="Z_FAEB8D12_6F02_4D2A_85DF_FFFD885E80DE_.wvu.FilterData" localSheetId="0" hidden="1">'2020-2022 год Приложение 3'!$A$15:$H$449</definedName>
    <definedName name="Z_FCCBE0E7_FEEA_4B4A_9B43_3BC14B324A55_.wvu.FilterData" localSheetId="1" hidden="1">'2020-2022 год Приложение  4'!$A$15:$N$476</definedName>
    <definedName name="Z_FFA87C71_667A_4282_B3E9_0239568B872F_.wvu.FilterData" localSheetId="1" hidden="1">'2020-2022 год Приложение  4'!$A$15:$K$476</definedName>
    <definedName name="Z_FFA87C71_667A_4282_B3E9_0239568B872F_.wvu.FilterData" localSheetId="0" hidden="1">'2020-2022 год Приложение 3'!$A$15:$H$449</definedName>
    <definedName name="_xlnm.Print_Titles" localSheetId="1">'2020-2022 год Приложение  4'!$13:$14</definedName>
    <definedName name="_xlnm.Print_Area" localSheetId="1">'2020-2022 год Приложение  4'!$A$1:$I$485</definedName>
    <definedName name="_xlnm.Print_Area" localSheetId="0">'2020-2022 год Приложение 3'!$A$1:$H$452</definedName>
  </definedNames>
  <calcPr fullCalcOnLoad="1"/>
</workbook>
</file>

<file path=xl/sharedStrings.xml><?xml version="1.0" encoding="utf-8"?>
<sst xmlns="http://schemas.openxmlformats.org/spreadsheetml/2006/main" count="2850" uniqueCount="468">
  <si>
    <t/>
  </si>
  <si>
    <t>ЦСР</t>
  </si>
  <si>
    <t>ВР</t>
  </si>
  <si>
    <t>Наименование</t>
  </si>
  <si>
    <t>1</t>
  </si>
  <si>
    <t>2</t>
  </si>
  <si>
    <t>3</t>
  </si>
  <si>
    <t>Всего</t>
  </si>
  <si>
    <t>200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</si>
  <si>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</si>
  <si>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</si>
  <si>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600</t>
  </si>
  <si>
    <t>800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</si>
  <si>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</si>
  <si>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</si>
  <si>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</si>
  <si>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300</t>
  </si>
  <si>
    <t>Вовлечение муниципального имущества в экономический оборот</t>
  </si>
  <si>
    <t>Реализация прочих функций, связанных с муниципальным управление</t>
  </si>
  <si>
    <t>Внедрение современных технологий обучения специалистов органов МСУ</t>
  </si>
  <si>
    <t>Развитие и поддержка актуального состояния портала администрации МО и сайтов муниципальных учреждений (8-ФЗ,83-ФЗ и пр.)</t>
  </si>
  <si>
    <t>Автоматизация и модернизация рабочих мест специалистов администрации МО и муниципальных учреждений, осуществляющих работу с государственными и муниципальными информационными системами</t>
  </si>
  <si>
    <t>Обеспечение функций муниципальных органов</t>
  </si>
  <si>
    <t>Поддержка малых форм хозяйствования</t>
  </si>
  <si>
    <t>400</t>
  </si>
  <si>
    <t>Обеспечение деятельности (оказание услуг) муниципальных организаций</t>
  </si>
  <si>
    <t>Укрепление и модернизация материально-технической базы дошкольных образовательных организаций</t>
  </si>
  <si>
    <t>Социальное обеспечение и иные выплаты населению</t>
  </si>
  <si>
    <t>Укрепление и модернизация материально-технической базы общеобразовательных организаций</t>
  </si>
  <si>
    <t>Капитальные вложения в объекты недвижимого имущества государственной (муниципальной) собственности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</si>
  <si>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</si>
  <si>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</si>
  <si>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 xml:space="preserve">Руководство и управление в сфере установленных функций органов местного самоуправления </t>
  </si>
  <si>
    <t xml:space="preserve">Содействие в организации охраны общественного порядка </t>
  </si>
  <si>
    <t>Проведение мероприятий, направленных на профилактику преступлений экстремисткого и террористического характера</t>
  </si>
  <si>
    <t xml:space="preserve"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семье. </t>
  </si>
  <si>
    <t>Предоставление субсидий общественным некоммерческим организациям на частичное финансовое обеспечение расходов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</si>
  <si>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</si>
  <si>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</si>
  <si>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</si>
  <si>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Развитие физкультурно-оздоровительной и спортивной работы</t>
  </si>
  <si>
    <t>Организация, проведение физкультурных и спортивно-массовых мероприятий</t>
  </si>
  <si>
    <t>Межбюджетные трансферты</t>
  </si>
  <si>
    <t>500</t>
  </si>
  <si>
    <t xml:space="preserve">Дотации на выравнивание бюджетной обеспеченности поселений </t>
  </si>
  <si>
    <t>Обеспечение мероприятий по капитальному ремонту и ремонту объектов коммунальной инфраструктуры</t>
  </si>
  <si>
    <t>Внедрение энергосберегающих технологий в муниципальных организациях</t>
  </si>
  <si>
    <t>Реализация прочих функций, связанных с муниципальным управлением</t>
  </si>
  <si>
    <t>Обеспечение деятельности (оказание услуг) муниципальных учреждений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</si>
  <si>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</si>
  <si>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дополнительного образования детей в области искусств</t>
  </si>
  <si>
    <t>Оказание муниципальных услуг (выполнение работ) учреждениями культурно-досугового типа</t>
  </si>
  <si>
    <t>Оказание муниципальных услуг (выполнение работ) физкультурно-спортивным учреждением</t>
  </si>
  <si>
    <t>Обеспечение деятельности (оказание услуг) подведомственных казенных учреждений</t>
  </si>
  <si>
    <t>Участие в организации проведения оплачиваемых общественных работ</t>
  </si>
  <si>
    <t>Признание прав, регулирование отношений по имуществу для муниципальных нужд и оптимизация состава (структуры) муниципального имущества</t>
  </si>
  <si>
    <t>Резервный фонд администрации муниципального района "Печора" по предупреждению и ликвидации чрезвычайных ситуаций и последствий стихийных бедствий</t>
  </si>
  <si>
    <t>Подпрограмма "Дорожное хозяйство и транспорт "</t>
  </si>
  <si>
    <t>Обеспечение мероприятий, направленных на энергосбережение жилищно-коммунальных услуг</t>
  </si>
  <si>
    <t>Обеспечение информационной безопасности в КСПД</t>
  </si>
  <si>
    <t>Реализация государственных функций, связанных с общегосударственным управлением</t>
  </si>
  <si>
    <t>Обеспечение функций казенных учреждений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</si>
  <si>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</si>
  <si>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</si>
  <si>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</si>
  <si>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</si>
  <si>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 xml:space="preserve"> Социальное обеспечение и иные выплаты населению</t>
  </si>
  <si>
    <t>Подпрограмма "Обеспечение создания условий для реализации муниципальной программы"</t>
  </si>
  <si>
    <t>Подпрограмма "Электронный муниципалитет"</t>
  </si>
  <si>
    <t>Проект "Финансовая поддержка одарённых детей Печоры"</t>
  </si>
  <si>
    <t>КВСР</t>
  </si>
  <si>
    <t>921</t>
  </si>
  <si>
    <t xml:space="preserve">Руководитель контрольно-счетной комиссии муниципального района "Печора" </t>
  </si>
  <si>
    <t>923</t>
  </si>
  <si>
    <t>Управление культуры и туризма муниципального района "Печора"</t>
  </si>
  <si>
    <t>956</t>
  </si>
  <si>
    <t xml:space="preserve">956 </t>
  </si>
  <si>
    <t>Комитет по управлению муниципальной собственностью муниципального района "Печора"</t>
  </si>
  <si>
    <t>963</t>
  </si>
  <si>
    <t>Управление образования муниципального района "Печора"</t>
  </si>
  <si>
    <t>975</t>
  </si>
  <si>
    <t>Меры социальной поддержки специалистов муниципальных организаций образования, работающих и проживающих в сельских населённых пунктах и посёлках городского типа МО МР "Печора"</t>
  </si>
  <si>
    <t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</t>
  </si>
  <si>
    <t>Управление финансов муниципального района "Печора"</t>
  </si>
  <si>
    <t>992</t>
  </si>
  <si>
    <t>Дотации на выравнивание бюджетной обеспеченности поселений муниципального района "Печора"</t>
  </si>
  <si>
    <t>Совет муниципального района "Печора"</t>
  </si>
  <si>
    <t>Администрация муниципального района "Печора"</t>
  </si>
  <si>
    <t>Подпрограмма "Повышение безопасности дорожного движения"</t>
  </si>
  <si>
    <t>Содействие в проведении профилактических, пропагандистких акций, конкурсов, мероприятий направленных на укрепление дисциплины участников дорожного движения , формирования у них стереотипов законопослушного поведения на дороге</t>
  </si>
  <si>
    <t>Содействие в проведении мероприятий с детьми по профилактике детского дорожно-транспортного травматизма и обеспечению безопасному участию в дорожном движении</t>
  </si>
  <si>
    <t>Организация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</si>
  <si>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Военно-патриотическое воспитание молодёжи допризывного возраста</t>
  </si>
  <si>
    <t>Стимулирование активного участия молодёжи в общественной жизни и профилактика негативных тенденций в молодёжной среде</t>
  </si>
  <si>
    <t>01 0 00 00000</t>
  </si>
  <si>
    <t>01 3 00 00000</t>
  </si>
  <si>
    <t>99 0 00 00000</t>
  </si>
  <si>
    <t>99 0 00 91020</t>
  </si>
  <si>
    <t>99 0 00 73090</t>
  </si>
  <si>
    <t>99 0 00 73100</t>
  </si>
  <si>
    <t>99 0 00 73110</t>
  </si>
  <si>
    <t>99 0 00 73150</t>
  </si>
  <si>
    <t>99 0 00 73160</t>
  </si>
  <si>
    <t>99 0 00 02110</t>
  </si>
  <si>
    <t>99 0 00 02040</t>
  </si>
  <si>
    <t>99 0 00 02020</t>
  </si>
  <si>
    <t>99 0 00 02030</t>
  </si>
  <si>
    <t>99 0 00 99271</t>
  </si>
  <si>
    <t>04 1 11 00000</t>
  </si>
  <si>
    <t>04 0 00 00000</t>
  </si>
  <si>
    <t>04 1 00 00000</t>
  </si>
  <si>
    <t>04 1 13 00000</t>
  </si>
  <si>
    <t>04 1 12 73010</t>
  </si>
  <si>
    <t>04 2 00 00000</t>
  </si>
  <si>
    <t>04 2 11 00000</t>
  </si>
  <si>
    <t>04 2 12 73010</t>
  </si>
  <si>
    <t>04 3 00 00000</t>
  </si>
  <si>
    <t>04 3 11 00000</t>
  </si>
  <si>
    <t>04 5 00 00000</t>
  </si>
  <si>
    <t>04 5 11 00000</t>
  </si>
  <si>
    <t>04 5 12 00000</t>
  </si>
  <si>
    <t>04 2 13 00000</t>
  </si>
  <si>
    <t>04 3 16 00000</t>
  </si>
  <si>
    <t>04 3 31 00000</t>
  </si>
  <si>
    <t>04 3 42 00000</t>
  </si>
  <si>
    <t>04 4 00 00000</t>
  </si>
  <si>
    <t xml:space="preserve"> 04 5 12 00000</t>
  </si>
  <si>
    <t>08 4 00 00000</t>
  </si>
  <si>
    <t>08 0 00 00000</t>
  </si>
  <si>
    <t>09 2 00 00000</t>
  </si>
  <si>
    <t>05 0 11 00000</t>
  </si>
  <si>
    <t>05 0 00 00000</t>
  </si>
  <si>
    <t>05 0 21 00000</t>
  </si>
  <si>
    <t>05 0 22 00000</t>
  </si>
  <si>
    <t>05 0 41 00000</t>
  </si>
  <si>
    <t>06 0 00 00000</t>
  </si>
  <si>
    <t>06 0 21 00000</t>
  </si>
  <si>
    <t>06 0 51 00000</t>
  </si>
  <si>
    <t>08 2 00 00000</t>
  </si>
  <si>
    <r>
      <t>08 2 1</t>
    </r>
    <r>
      <rPr>
        <sz val="12"/>
        <rFont val="Times New Roman"/>
        <family val="1"/>
      </rPr>
      <t>1 00000</t>
    </r>
  </si>
  <si>
    <r>
      <t>08 4 11</t>
    </r>
    <r>
      <rPr>
        <sz val="12"/>
        <rFont val="Times New Roman"/>
        <family val="1"/>
      </rPr>
      <t xml:space="preserve"> 00000</t>
    </r>
  </si>
  <si>
    <t>08 5 00 00000</t>
  </si>
  <si>
    <r>
      <t>08 5 11</t>
    </r>
    <r>
      <rPr>
        <sz val="12"/>
        <rFont val="Times New Roman"/>
        <family val="1"/>
      </rPr>
      <t xml:space="preserve"> 00000</t>
    </r>
  </si>
  <si>
    <r>
      <t>08 5 21</t>
    </r>
    <r>
      <rPr>
        <sz val="12"/>
        <rFont val="Times New Roman"/>
        <family val="1"/>
      </rPr>
      <t xml:space="preserve"> 00000</t>
    </r>
  </si>
  <si>
    <r>
      <t>08 5 22</t>
    </r>
    <r>
      <rPr>
        <sz val="12"/>
        <rFont val="Times New Roman"/>
        <family val="1"/>
      </rPr>
      <t xml:space="preserve"> 00000</t>
    </r>
  </si>
  <si>
    <t>02 0 00 00000</t>
  </si>
  <si>
    <t>02 1 00 00000</t>
  </si>
  <si>
    <t>07 0 00 00000</t>
  </si>
  <si>
    <t>07 1 00 00000</t>
  </si>
  <si>
    <t>07 1 31 00000</t>
  </si>
  <si>
    <t>07 2 00 00000</t>
  </si>
  <si>
    <t>07 2 11 00000</t>
  </si>
  <si>
    <t>07 2 21 00000</t>
  </si>
  <si>
    <t>07 2 31 00000</t>
  </si>
  <si>
    <t>07 2 32 00000</t>
  </si>
  <si>
    <t>07 3 00 00000</t>
  </si>
  <si>
    <t>07 3 21 00000</t>
  </si>
  <si>
    <t>07 3 71 00000</t>
  </si>
  <si>
    <t>07 3 72 00000</t>
  </si>
  <si>
    <t>07 3 79 00000</t>
  </si>
  <si>
    <t>07 4 00 00000</t>
  </si>
  <si>
    <t>07 4 12 00000</t>
  </si>
  <si>
    <t>07 4 45 00000</t>
  </si>
  <si>
    <t>07 4 54 00000</t>
  </si>
  <si>
    <t>07 3 74 73040</t>
  </si>
  <si>
    <t>07 3 76 73070</t>
  </si>
  <si>
    <t>07 3 77 73080</t>
  </si>
  <si>
    <t>07 3 78 73120</t>
  </si>
  <si>
    <t>09 0 00 00000</t>
  </si>
  <si>
    <t>09 1 00 00000</t>
  </si>
  <si>
    <t>09 2 11 00000</t>
  </si>
  <si>
    <t>09 3 00 00000</t>
  </si>
  <si>
    <t>09 3 11 00000</t>
  </si>
  <si>
    <t>03 0 00 00000</t>
  </si>
  <si>
    <t>03 1 00 00000</t>
  </si>
  <si>
    <t>03 2 00 00000</t>
  </si>
  <si>
    <t>03 3 00 00000</t>
  </si>
  <si>
    <t>03 3 12 00000</t>
  </si>
  <si>
    <t>03 3 13 00000</t>
  </si>
  <si>
    <t>03 5 00 00000</t>
  </si>
  <si>
    <t>03 5 12 00000</t>
  </si>
  <si>
    <t>Кадровое обеспечение, повышение квалификации</t>
  </si>
  <si>
    <t>05 0 25 00000</t>
  </si>
  <si>
    <t>04 4 11 S2040</t>
  </si>
  <si>
    <t>07 3 73 73150</t>
  </si>
  <si>
    <t>Мероприятия по проведению оздоровительной кампании детей и трудоустройству подростков</t>
  </si>
  <si>
    <t>Реализация поэтапного внедрения Всероссийского физкультурно-спортивного комплекса "Готов к труду и обороне" (ГТО)</t>
  </si>
  <si>
    <t>07 4 53 00000</t>
  </si>
  <si>
    <t>Обеспечение защиты конфидециальной информации в информационных системах</t>
  </si>
  <si>
    <t>99 0 00 63160</t>
  </si>
  <si>
    <t>Меры социальной поддержки специалистов муниципальных учреждений образования, культуры муниципального района "Печора", работающих и проживающих в сельских населенных пунктах и поселках городского типа</t>
  </si>
  <si>
    <t>Осуществление государственного полномочия Республики Коми, предусмотренного статьей 2 Закона Республики Коми "О наделении органов местного самоуправления в Республике Коми отдельными государственными полномочиями в сфере государственной регистрации актов гражданского состояния"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</si>
  <si>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</si>
  <si>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Руководитель контрольно-счетной комиссии муниципального района "Печора"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</si>
  <si>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</si>
  <si>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09 3 12 S2430</t>
  </si>
  <si>
    <t>Поддержка отрасли культуры</t>
  </si>
  <si>
    <t>05 0 13 L5190</t>
  </si>
  <si>
    <t>06 0 61 00000</t>
  </si>
  <si>
    <t xml:space="preserve">Предоставление социальных выплат молодым семьям на приобретение жилого помещения или создание объекта индивидуального жилищного строительства
</t>
  </si>
  <si>
    <t>Реализация муниципальных программ (подпрограмм, основных мероприятий) поддержки социально ориентированных некоммерческих организаций</t>
  </si>
  <si>
    <t>09 2 31 73030</t>
  </si>
  <si>
    <t>Реализация народных проектов в сфере образования, прошедших отбор в рамках проекта «Народный бюджет»</t>
  </si>
  <si>
    <t>Реконструкция, капитальный ремонт и ремонт автомобильных дорог  общего пользования местного значения</t>
  </si>
  <si>
    <t>Мероприятия в области пассажирского транспорта</t>
  </si>
  <si>
    <t>03 3 14 00000</t>
  </si>
  <si>
    <t>04 2 13 S2020</t>
  </si>
  <si>
    <t>01 2 00 00000</t>
  </si>
  <si>
    <t>01 3 11 00000</t>
  </si>
  <si>
    <t>Организационная поддержка малого и среднего предпринимательства</t>
  </si>
  <si>
    <t>Информационная поддержка малого и среднего предпринимательства</t>
  </si>
  <si>
    <t>06 0 31 00000</t>
  </si>
  <si>
    <t>Организация подготовки и переподготовки специалистов в сфере физической культуры и спорта</t>
  </si>
  <si>
    <t>Создание, техническое обслуживание, наращивание и модернизация корпоративной сети передачи данных (далее КСПД) МО</t>
  </si>
  <si>
    <t>07 4 41 00000</t>
  </si>
  <si>
    <t>03 6 00 00000</t>
  </si>
  <si>
    <t>01 2 21 00000</t>
  </si>
  <si>
    <t>01 3 12 00000</t>
  </si>
  <si>
    <t>Содействие развитию инвестиционного потенциала муниципального района</t>
  </si>
  <si>
    <t>Приложение 3</t>
  </si>
  <si>
    <t>Осуществление государственного полномочия Республики Коми, предусмотренного подпунктом «а»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</si>
  <si>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09 2 41 L4970</t>
  </si>
  <si>
    <t>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</si>
  <si>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Обслуживание государственного (муниципального) долга</t>
  </si>
  <si>
    <t>700</t>
  </si>
  <si>
    <t>Обеспечение жильем отдельных категорий граждан, установленных федеральным законом  от 24 ноября 1995 года № 181-ФЗ "О социальной защите инвалидов в Российской Федерации"</t>
  </si>
  <si>
    <t>Обеспечение жильем отдельных категорий граждан, установленных федеральным законом  от 12 января 1995 года № 5-ФЗ "О ветеранах"</t>
  </si>
  <si>
    <t>Обеспечение персонифицированного финансирования дополнительного образования детей</t>
  </si>
  <si>
    <t>Обеспечение мероприятий по капитальному ремонту и ремонту многоквартирных домов</t>
  </si>
  <si>
    <t>Обеспечение мероприятий по капитальному ремонту  и ремонту многоквартирных домов</t>
  </si>
  <si>
    <t>99 0 00 63230</t>
  </si>
  <si>
    <t>Выплаты в соответствии с Решением Совета МР «Печора» от 24 апреля 2018 «О наградах муниципального образования муниципального района «Печора»</t>
  </si>
  <si>
    <t>07 1 15 00000</t>
  </si>
  <si>
    <t>Обслуживание муниципального долга</t>
  </si>
  <si>
    <t>01 3 21 00000</t>
  </si>
  <si>
    <t>Финансовая поддержка субъектов малого и среднего предпринимательства</t>
  </si>
  <si>
    <t>Приложение 4</t>
  </si>
  <si>
    <t>2020 год</t>
  </si>
  <si>
    <t xml:space="preserve">к  решению Совета </t>
  </si>
  <si>
    <t>2021 год</t>
  </si>
  <si>
    <t>Сумма (тыс. рублей)</t>
  </si>
  <si>
    <t>Условно утверждаемые (утвержденные) расходы</t>
  </si>
  <si>
    <t>99 0 00 99990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</si>
  <si>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</si>
  <si>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 xml:space="preserve"> муниципального района "Печора" 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</si>
  <si>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</si>
  <si>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</si>
  <si>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</si>
  <si>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99 0 00 51200</t>
  </si>
  <si>
    <t>Укрепление материально-технической базы муниципальных учреждений сферы культуры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</si>
  <si>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</si>
  <si>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09 2 32 51760</t>
  </si>
  <si>
    <t>09 2 32 51350</t>
  </si>
  <si>
    <t>05 0 13 L4670</t>
  </si>
  <si>
    <t>07 3 81 00000</t>
  </si>
  <si>
    <t>Реализация народных проектов в сфере культуры, прошедших отбор в рамках проекта "Народный бюджет"</t>
  </si>
  <si>
    <t>Обеспечение деятельности (оказания услуг) муниципальных учреждений (организаций)</t>
  </si>
  <si>
    <t>Проведение муниципального конкурса "Лучшее подворье муниципального района "Печора"</t>
  </si>
  <si>
    <t>99 0 00 27400</t>
  </si>
  <si>
    <t>Осуществление государственных полномочий Республики Коми, предусмотренных пунктами 11 и 12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</si>
  <si>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05 0 11 S2850</t>
  </si>
  <si>
    <t>Оплата муниципальными учреждениями расходов по коммунальным услугам</t>
  </si>
  <si>
    <t>05 0 21 S2850</t>
  </si>
  <si>
    <t>05 0 22 S2850</t>
  </si>
  <si>
    <t>Мероприятия по проведению оздоровительной кампании детей</t>
  </si>
  <si>
    <t>04 4 11 00000</t>
  </si>
  <si>
    <t>05 0 11 S2690</t>
  </si>
  <si>
    <t>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 в муниципальных образованиях Республике Коми</t>
  </si>
  <si>
    <t>05 0 21 S2690</t>
  </si>
  <si>
    <t>04 1 11 S2850</t>
  </si>
  <si>
    <t>04 2 11 S2850</t>
  </si>
  <si>
    <t>04 3 11 S2850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</si>
  <si>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</si>
  <si>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05 0 22 S2700</t>
  </si>
  <si>
    <t>Cофинансирование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</si>
  <si>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06 0 21 S2700</t>
  </si>
  <si>
    <t>Обеспечение мероприятий по расселению непригодного для проживания жилищного фонда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</si>
  <si>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</si>
  <si>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07 4 56 S2840</t>
  </si>
  <si>
    <t>Cоздание системы по раздельному накоплению отходов</t>
  </si>
  <si>
    <t>08 1 00 00000</t>
  </si>
  <si>
    <t>05 0 21 02690</t>
  </si>
  <si>
    <t>03 2 F3 67484</t>
  </si>
  <si>
    <t>03 2 F3 6748S</t>
  </si>
  <si>
    <t>05 0 11 02690</t>
  </si>
  <si>
    <t>Субсидии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</si>
  <si>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02 2 00 00000</t>
  </si>
  <si>
    <t>Строительство (реконструкция) объектов инженерной инфраструктуры в сельской местности</t>
  </si>
  <si>
    <t>Распределение бюджетных ассигнований по целевым статьям (муниципальным программам и непрограммным  направлениям деятельности), группам видов расходов классификации расходов бюджетов Российской Федерации на 2020 год и плановый период 2021 и 2022 годов</t>
  </si>
  <si>
    <t>2022 год</t>
  </si>
  <si>
    <t xml:space="preserve">Ведомственная структура расходов бюджета муниципального образования муниципального района "Печора" на 2020 год и плановый период 2021 и  2022 годов </t>
  </si>
  <si>
    <t>Муниципальная  программа "Развитие экономики"</t>
  </si>
  <si>
    <t>Подпрограмма "Инвестиционный климат на территории муниципального района "Печора"</t>
  </si>
  <si>
    <t>Подпрограмма "Малое и среднее предпринимательство"</t>
  </si>
  <si>
    <t>Муниципальная  программа "Развитие агропромышленного  комплекса"</t>
  </si>
  <si>
    <t>Подпрограмма "Развитие сельского хозяйства"</t>
  </si>
  <si>
    <t>Подпрограмма "Устойчивое развитие сельских территорий"</t>
  </si>
  <si>
    <t>Муниципальная  программа "Жилье, жилищно-коммунальное хозяйство и территориальное развитие"</t>
  </si>
  <si>
    <t>Подпрограмма "Улучшение состояния жилищно-коммунального комплекса"</t>
  </si>
  <si>
    <t>Подпрограмма "Энергосбережение и повышение энергетической эффективности"</t>
  </si>
  <si>
    <t>Муниципальная  программа "Развитие образования"</t>
  </si>
  <si>
    <t>Подпрограмма "Развитие системы дошкольного образования"</t>
  </si>
  <si>
    <t>Подпрограмма "Развитие системы общего образования"</t>
  </si>
  <si>
    <t>Подпрограмма "Дети и молодежь"</t>
  </si>
  <si>
    <t>Подпрограмма "Оздоровление, отдых детей и трудоустройство подростков"</t>
  </si>
  <si>
    <t>Муниципальная  программа "Развитие физической культуры и спорта"</t>
  </si>
  <si>
    <t>Муниципальная  программа "Развитие системы муниципального управления"</t>
  </si>
  <si>
    <t>Подпрограмма "Управление муниципальными финансами и муниципальным долгом"</t>
  </si>
  <si>
    <t>Подпрограмма "Управление муниципальным имуществом"</t>
  </si>
  <si>
    <t>Подпрограмма "Муниципальное управление"</t>
  </si>
  <si>
    <t>Муниципальная  программа "Безопасность жизнедеятельности населения"</t>
  </si>
  <si>
    <t>Подпрограмма "Охрана окружающей среды"</t>
  </si>
  <si>
    <t>Подпрограмма "Профилактика терроризма и экстремизма"</t>
  </si>
  <si>
    <t>Муниципальная  программа "Социальное развитие"</t>
  </si>
  <si>
    <t>Подпрограмма "Содействие занятости населения"</t>
  </si>
  <si>
    <t>Подпрограмма "Социальная поддержка отдельных категорий граждан, развитие и укрепление института семьи"</t>
  </si>
  <si>
    <t>Подпрограмма "Поддержка некоммерческих общественных организаций"</t>
  </si>
  <si>
    <t xml:space="preserve">Подпрограмма "Дорожное хозяйство и транспорт" </t>
  </si>
  <si>
    <t>Подпрограмма "Улучшение состояния территорий муниципального района «Печора»</t>
  </si>
  <si>
    <t>Подпрограмма  "Управление муниципальными финансами и муниципальным долгом"</t>
  </si>
  <si>
    <t>Подпрограмма "Укрепление правопорядка, защита населения и территории муниципального района "Печора"  от чрезвычайных ситуаций"</t>
  </si>
  <si>
    <t>Муниципальная программа "Развитие культуры и туризма"</t>
  </si>
  <si>
    <t>Подрограмма "Развитие системы дошкольного образования"</t>
  </si>
  <si>
    <t>Подпрограмма "Управление муниципальным финансами и муниципальным долгом"</t>
  </si>
  <si>
    <t>04 5 11 73050</t>
  </si>
  <si>
    <t>04 1 13 S2020</t>
  </si>
  <si>
    <t>99 0 00 91040</t>
  </si>
  <si>
    <t>99 0 00 91050</t>
  </si>
  <si>
    <t>09 1 11 00000</t>
  </si>
  <si>
    <r>
      <t xml:space="preserve">02 1 </t>
    </r>
    <r>
      <rPr>
        <sz val="12"/>
        <rFont val="Times New Roman"/>
        <family val="1"/>
      </rPr>
      <t>11 00000</t>
    </r>
  </si>
  <si>
    <t>02 2 11 00000</t>
  </si>
  <si>
    <t>Реализация народных проектов в сфере малого и среднего предпринимательства, прошедших отбор в рамках проекта "Народный бюджет".</t>
  </si>
  <si>
    <t>99 0 00 54690</t>
  </si>
  <si>
    <t>Проведение Всероссийской переписи населения 2020 года</t>
  </si>
  <si>
    <t>06 0 21 S2850</t>
  </si>
  <si>
    <t>Обеспечение жильем граждан, переселяемых из малозаселенных, неперспективных населенных пунктов, расположенных в муниципальных районах в Республике Коми, отнесенных к районам Крайнего Севера</t>
  </si>
  <si>
    <t>08 1 11 S2860</t>
  </si>
  <si>
    <r>
      <t>08 2 22</t>
    </r>
    <r>
      <rPr>
        <sz val="12"/>
        <rFont val="Times New Roman"/>
        <family val="1"/>
      </rPr>
      <t xml:space="preserve"> 00000</t>
    </r>
  </si>
  <si>
    <t>08 2 22 00000</t>
  </si>
  <si>
    <t>03 1 11 00000</t>
  </si>
  <si>
    <t>Адаптация объектов жилого фонда и жилой среды к потребностям инвалидов и других маломобильных групп населения.</t>
  </si>
  <si>
    <t>03 1 12 00000</t>
  </si>
  <si>
    <t>03 1 13 00000</t>
  </si>
  <si>
    <t>03 1 21 73060</t>
  </si>
  <si>
    <t>03 2 22 S2410</t>
  </si>
  <si>
    <t>Проведение кадастровых работ в отношении земельных участков находящихся в муниципальной собственности</t>
  </si>
  <si>
    <t>03 2 23 00000</t>
  </si>
  <si>
    <t>Кадастровый учет эемель , земельных участков для индивидуального жилищного строительства</t>
  </si>
  <si>
    <t>03 2 21 00000</t>
  </si>
  <si>
    <t>03 3 11 00000</t>
  </si>
  <si>
    <t>03 3 11 S2210</t>
  </si>
  <si>
    <t>03 3 12 S2220</t>
  </si>
  <si>
    <t>03 3 15 S2270</t>
  </si>
  <si>
    <t>03 5 11 00000</t>
  </si>
  <si>
    <t>03 6 11 73120</t>
  </si>
  <si>
    <t>Укрепление материально-технической базы</t>
  </si>
  <si>
    <t>06 0 11 00000</t>
  </si>
  <si>
    <t>06 0 22 00000</t>
  </si>
  <si>
    <t>Оказание муниципальных услуг (выполнение работ) музеями и библиотеками</t>
  </si>
  <si>
    <t>04 1 14 73020</t>
  </si>
  <si>
    <t>04 1 16 73190</t>
  </si>
  <si>
    <t>04 2 14 S2000</t>
  </si>
  <si>
    <t>04 2 15 00000</t>
  </si>
  <si>
    <t>04 2 16 73190</t>
  </si>
  <si>
    <t>Осуществление государственных полномочий Республики Коми, предусмотренных  пунктами 7-8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</si>
  <si>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07 3 75 73140</t>
  </si>
  <si>
    <t>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</si>
  <si>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04 3 13 00000</t>
  </si>
  <si>
    <t>04 3 14 73190</t>
  </si>
  <si>
    <t>04 3 15 S2700</t>
  </si>
  <si>
    <t>Осуществление информационного обеспечения государственной молодежной политики муниципального района "Печора"</t>
  </si>
  <si>
    <t>04 3 21 00000</t>
  </si>
  <si>
    <t>05 0 13 S2460</t>
  </si>
  <si>
    <t>Подпргорамма «Комплексное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</si>
  <si>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03 2 31 S2880</t>
  </si>
  <si>
    <t>Оснащение образовательных организаций оборудованием, позволяющим в игровой форме формировать навыки безопасного поведения улично-дорожной сети ( в том числе обустройство мини-улиц и авто-городков)</t>
  </si>
  <si>
    <t>Содействие в проведении профилактических, пропагандистких акций, конкурсов, мероприятий направленных на укрепление дисциплины участников дорожного движения, формирования у них стереотипов законопослушного поведения на дороге</t>
  </si>
  <si>
    <t>Кадастровый учет земель, земельных участков для индивидуального жилищного строительства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</si>
  <si>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 отлову и содержанию животных без владельцев</t>
  </si>
  <si>
    <t>05 0 42 00000</t>
  </si>
  <si>
    <t>Субсидии поселениям из бюджета муниципального образования муниципального района «Печора» на оплату энергетических ресурсов уличного освещения</t>
  </si>
  <si>
    <t>Субсидии поселениям из бюджета муниципального образования муниципального района «Печора» на содержание улично-дорожной сети в границах поселений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</si>
  <si>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животных без владельцев</t>
  </si>
  <si>
    <t>09 2 31 R0820</t>
  </si>
  <si>
    <t xml:space="preserve">975 </t>
  </si>
  <si>
    <t>Капитальные вложения в объекты государственной (муниципальной) собственности</t>
  </si>
  <si>
    <t>от 20 декабря 2019 года № 6-41/455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</si>
  <si>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</si>
  <si>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06 0 P5 S2090</t>
  </si>
  <si>
    <t>изменения</t>
  </si>
  <si>
    <t>05 0 13 S2150</t>
  </si>
  <si>
    <t>Укрепление материально-технической базы муниципальных учреждений</t>
  </si>
  <si>
    <t>05 0 12 00000</t>
  </si>
  <si>
    <t>Создание безопасных условий в организациях в сфере физической культуры и спорта</t>
  </si>
  <si>
    <t xml:space="preserve">99 0 00 02110 </t>
  </si>
  <si>
    <t>99 0 00 99950</t>
  </si>
  <si>
    <t>Резерв средств на 2020 год, в том числе для увеличения расходов на оплату труда</t>
  </si>
  <si>
    <t>Осуществление переданных  органами местного самоуправления части отдельных полномочий по решению вопросов местного значения  по исполнению бюджета поселения, осуществлению контроля за его исполнением</t>
  </si>
  <si>
    <t>99 0 00 03010</t>
  </si>
  <si>
    <t>03 2 11 00000</t>
  </si>
  <si>
    <t>Осуществление переданных органами местного самоуправления полномочий по решению вопросов местного значения по обеспечению проживающих в поселении и нуждающихся в жилых помещениях малоимущих граждан жилыми помещениями, по организации содержания муниципального жилого фонда, по созданию условий для жилищного строительства, а также по осуществлению иных полномочий органов местного самоуправления в соответствии с жилищным законодательством</t>
  </si>
  <si>
    <t>99 0 00 03020</t>
  </si>
  <si>
    <t>Осуществление переданных органами местного самоуправления полномочий по решению вопросов местного значения по участию в предупреждении и ликвидации последствий чрезвычайных ситуаций в границах поселения</t>
  </si>
  <si>
    <t>99 0 00 03030</t>
  </si>
  <si>
    <t>Осуществление переданных органами местного самоуправления полномочий по решению вопросов местного значения по участию в минимизации и(или) ликвидации последствий проявления терроризма и экстремизма в границах поселения</t>
  </si>
  <si>
    <t>99 0 00 03040</t>
  </si>
  <si>
    <t>Осуществление переданных органами местного самоуправления полномочий по решению вопросов местного значения по содействию в развитии сельскохозяйственного производства, созданию условий для развития малого и среднего предпринимательства</t>
  </si>
  <si>
    <t>99 0 00 03050</t>
  </si>
  <si>
    <t>Осуществление переданных органами местного самоуправления полномочий по решению вопросов местного значения по организации в границах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</si>
  <si>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99 0 00 03080</t>
  </si>
  <si>
    <t>Осуществление переданных органами местного самоуправления полномочий по решению вопросов местного значения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</si>
  <si>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99 0 00 03090</t>
  </si>
  <si>
    <t>Проведение выборов и референдумов</t>
  </si>
  <si>
    <t>99 0 00 02090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</si>
  <si>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муниципального образования муниципального района Печора</t>
  </si>
  <si>
    <t>99 0 00 27200</t>
  </si>
  <si>
    <t>Проведение мероприятий, связанных с предупреждением и ликвидацией последствий чрезвычайных ситуаций</t>
  </si>
  <si>
    <t>04 2 E2 50970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</si>
  <si>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</si>
  <si>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3 E2 54910</t>
  </si>
  <si>
    <t>04 1 13 S2010</t>
  </si>
  <si>
    <t>04 2 13 S2010</t>
  </si>
  <si>
    <t>Повышение уровня благоустройства городской среды</t>
  </si>
  <si>
    <t>Сумма
(тыс. рублей) 2020</t>
  </si>
  <si>
    <t>99 0 00 91060</t>
  </si>
  <si>
    <t>Иные межбюджетные трансферты, предоставляемые на реализацию мероприятий по решению вопросов местного значения поселений</t>
  </si>
  <si>
    <t>03 2 11 99913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</si>
  <si>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– Фонд содействия реформированию ЖКХ</t>
  </si>
  <si>
    <t>03 2 11 99911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</si>
  <si>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республиканского бюджета Республики Коми</t>
  </si>
  <si>
    <t>03 2 F3 67483</t>
  </si>
  <si>
    <t>05 0 13 00000</t>
  </si>
  <si>
    <t>05 0 13 S2470</t>
  </si>
  <si>
    <t>05 0 13 S2570</t>
  </si>
  <si>
    <t>Реализация народных проектов, прошедших отбор в рамках проекта "Народный бюджет", в области этнокультурного развития народов, проживающих на территории Республики Коми</t>
  </si>
  <si>
    <t>06 0 23 00000</t>
  </si>
  <si>
    <t>Финансовое обеспечение муниципальных учреждений, временно не оказывающих услуги (работы) при введении режима повышенной готовности, в связи с распространением эпидемий (пандемий)</t>
  </si>
  <si>
    <t>06 0 72 S2100</t>
  </si>
  <si>
    <t>05 0 24 00000</t>
  </si>
  <si>
    <t>Поездки творческих коллективов и солистов в целях реализации гастрольно-концертной деятельности, участие в конкурсах различных уровней</t>
  </si>
  <si>
    <t>Софинансирование расходных обязательств органов местного самоуправления по реализации народных проектов в сфере малого и среднего предпринимательства, прошедших отбор в рамках проекта "Народный бюджет"</t>
  </si>
  <si>
    <t>01 3 I4 S2560</t>
  </si>
  <si>
    <t>03 3 15 00000</t>
  </si>
  <si>
    <t>03 6 21 00000</t>
  </si>
  <si>
    <t>03 6 31 S2120</t>
  </si>
  <si>
    <t xml:space="preserve">Проведение дезинфекционных мероприятий на открытых пространствах населенных пунктов в целях недопущения распространения новой коронавирусной инфекции (COVID-19)
</t>
  </si>
  <si>
    <t>01 3 23 00000</t>
  </si>
  <si>
    <t>Подпргорамма "Комплексное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</si>
  <si>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05 0 26 00000</t>
  </si>
  <si>
    <t>99 0 00 03150</t>
  </si>
  <si>
    <t>Осуществление переданных органами местного самоуправления полномочий по решению вопросов местного значения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</si>
  <si>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Приложение 2</t>
  </si>
  <si>
    <t>Оснащение образовательных организаций оборудованием , позволяющим в игровой форме формировать навыки безопасного поведения улично-дорожной сети (в том числе обустройство мини-улиц и авто-городков)</t>
  </si>
  <si>
    <t xml:space="preserve">Закупка товаров, работ и услуг для обеспечения государственных (муниципальных) нужд
</t>
  </si>
  <si>
    <t>Подпрограмма "Комплексное освоение и развитие территорий в целях жилищного строительства"</t>
  </si>
  <si>
    <t>0</t>
  </si>
  <si>
    <t xml:space="preserve">от  июля 2020 года № </t>
  </si>
  <si>
    <t>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</si>
  <si>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04 2 17 53030</t>
  </si>
  <si>
    <t>Закупка товаров, работ и услуг для обеспечения государственных (муниципальных) нужд</t>
  </si>
  <si>
    <t>03 2 11 99912</t>
  </si>
  <si>
    <t>03 2 31 00000</t>
  </si>
  <si>
    <t>Обеспечение жильем граждан, переселяемых из малозаселенных, неперспективных населенных пунктов Республики Коми</t>
  </si>
  <si>
    <t>-1,5</t>
  </si>
  <si>
    <t>1,5</t>
  </si>
  <si>
    <t>03 2 11 09502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</si>
  <si>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
</t>
  </si>
  <si>
    <t>от июля 2020 года №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</si>
</sst>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?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\ 00\ 00"/>
    <numFmt numFmtId="187" formatCode="000"/>
    <numFmt numFmtId="188" formatCode="000000"/>
    <numFmt numFmtId="189" formatCode="0.0"/>
    <numFmt numFmtId="190" formatCode="#,##0.000"/>
    <numFmt numFmtId="191" formatCode="#,##0.0000"/>
    <numFmt numFmtId="192" formatCode="#,##0.00000"/>
    <numFmt numFmtId="193" formatCode="00"/>
    <numFmt numFmtId="194" formatCode="#,##0.00\ &quot;₽&quot;"/>
    <numFmt numFmtId="195" formatCode="#,##0.00\ _₽"/>
    <numFmt numFmtId="196" formatCode="#,##0.0\ _₽"/>
  </numFmts>
  <fonts count="56">
    <font>
      <sz val="10"/>
      <name val="Arial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 CYR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top"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right" vertical="center"/>
    </xf>
    <xf numFmtId="49" fontId="53" fillId="0" borderId="10" xfId="0" applyNumberFormat="1" applyFont="1" applyBorder="1" applyAlignment="1">
      <alignment horizontal="center" vertical="center" wrapText="1"/>
    </xf>
    <xf numFmtId="49" fontId="9" fillId="7" borderId="10" xfId="0" applyNumberFormat="1" applyFont="1" applyFill="1" applyBorder="1" applyAlignment="1">
      <alignment horizontal="justify" vertical="center" wrapText="1"/>
    </xf>
    <xf numFmtId="49" fontId="9" fillId="7" borderId="10" xfId="0" applyNumberFormat="1" applyFont="1" applyFill="1" applyBorder="1" applyAlignment="1">
      <alignment horizontal="center" vertical="center" wrapText="1"/>
    </xf>
    <xf numFmtId="181" fontId="9" fillId="7" borderId="10" xfId="0" applyNumberFormat="1" applyFont="1" applyFill="1" applyBorder="1" applyAlignment="1">
      <alignment horizontal="right" vertical="center"/>
    </xf>
    <xf numFmtId="49" fontId="10" fillId="7" borderId="10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Border="1" applyAlignment="1">
      <alignment horizontal="justify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181" fontId="11" fillId="0" borderId="10" xfId="0" applyNumberFormat="1" applyFont="1" applyBorder="1" applyAlignment="1">
      <alignment horizontal="right" vertical="center"/>
    </xf>
    <xf numFmtId="0" fontId="11" fillId="0" borderId="10" xfId="0" applyNumberFormat="1" applyFont="1" applyBorder="1" applyAlignment="1">
      <alignment horizontal="justify" vertical="center" wrapText="1"/>
    </xf>
    <xf numFmtId="0" fontId="0" fillId="0" borderId="0" xfId="0" applyFont="1" applyAlignment="1">
      <alignment/>
    </xf>
    <xf numFmtId="181" fontId="3" fillId="33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justify" vertical="center" wrapText="1"/>
    </xf>
    <xf numFmtId="49" fontId="10" fillId="7" borderId="10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181" fontId="0" fillId="0" borderId="0" xfId="0" applyNumberFormat="1" applyFont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justify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81" fontId="2" fillId="34" borderId="10" xfId="0" applyNumberFormat="1" applyFont="1" applyFill="1" applyBorder="1" applyAlignment="1">
      <alignment horizontal="right" vertical="center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181" fontId="6" fillId="34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right" vertical="center"/>
    </xf>
    <xf numFmtId="181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justify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181" fontId="11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/>
    </xf>
    <xf numFmtId="0" fontId="11" fillId="33" borderId="10" xfId="0" applyNumberFormat="1" applyFont="1" applyFill="1" applyBorder="1" applyAlignment="1">
      <alignment/>
    </xf>
    <xf numFmtId="0" fontId="55" fillId="33" borderId="10" xfId="0" applyNumberFormat="1" applyFont="1" applyFill="1" applyBorder="1" applyAlignment="1">
      <alignment wrapText="1"/>
    </xf>
    <xf numFmtId="0" fontId="3" fillId="33" borderId="10" xfId="0" applyNumberFormat="1" applyFont="1" applyFill="1" applyBorder="1" applyAlignment="1">
      <alignment horizontal="justify" vertical="center" wrapText="1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10" xfId="0" applyFont="1" applyFill="1" applyBorder="1" applyAlignment="1">
      <alignment wrapText="1"/>
    </xf>
    <xf numFmtId="0" fontId="11" fillId="33" borderId="10" xfId="0" applyNumberFormat="1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49" fontId="53" fillId="35" borderId="10" xfId="0" applyNumberFormat="1" applyFont="1" applyFill="1" applyBorder="1" applyAlignment="1">
      <alignment horizontal="center" vertical="center" wrapText="1"/>
    </xf>
    <xf numFmtId="49" fontId="17" fillId="35" borderId="10" xfId="0" applyNumberFormat="1" applyFont="1" applyFill="1" applyBorder="1" applyAlignment="1">
      <alignment horizontal="center" vertical="center" wrapText="1"/>
    </xf>
    <xf numFmtId="181" fontId="11" fillId="0" borderId="10" xfId="0" applyNumberFormat="1" applyFont="1" applyFill="1" applyBorder="1" applyAlignment="1">
      <alignment vertical="center"/>
    </xf>
    <xf numFmtId="49" fontId="6" fillId="35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top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left" vertical="center" wrapText="1"/>
    </xf>
    <xf numFmtId="49" fontId="6" fillId="6" borderId="10" xfId="0" applyNumberFormat="1" applyFont="1" applyFill="1" applyBorder="1" applyAlignment="1">
      <alignment horizontal="left" vertical="center" wrapText="1"/>
    </xf>
    <xf numFmtId="49" fontId="2" fillId="6" borderId="10" xfId="0" applyNumberFormat="1" applyFont="1" applyFill="1" applyBorder="1" applyAlignment="1">
      <alignment horizontal="center" vertical="center" wrapText="1"/>
    </xf>
    <xf numFmtId="49" fontId="6" fillId="6" borderId="10" xfId="0" applyNumberFormat="1" applyFont="1" applyFill="1" applyBorder="1" applyAlignment="1">
      <alignment horizontal="center" vertical="center" wrapText="1"/>
    </xf>
    <xf numFmtId="181" fontId="6" fillId="6" borderId="10" xfId="0" applyNumberFormat="1" applyFont="1" applyFill="1" applyBorder="1" applyAlignment="1">
      <alignment horizontal="right" vertical="center"/>
    </xf>
    <xf numFmtId="49" fontId="11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2" fillId="6" borderId="10" xfId="0" applyNumberFormat="1" applyFont="1" applyFill="1" applyBorder="1" applyAlignment="1">
      <alignment horizontal="justify" vertical="center" wrapText="1"/>
    </xf>
    <xf numFmtId="181" fontId="2" fillId="6" borderId="10" xfId="0" applyNumberFormat="1" applyFont="1" applyFill="1" applyBorder="1" applyAlignment="1">
      <alignment horizontal="right" vertical="center"/>
    </xf>
    <xf numFmtId="49" fontId="11" fillId="7" borderId="10" xfId="0" applyNumberFormat="1" applyFont="1" applyFill="1" applyBorder="1" applyAlignment="1">
      <alignment horizontal="center" vertical="center" wrapText="1"/>
    </xf>
    <xf numFmtId="49" fontId="53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3" fillId="7" borderId="10" xfId="0" applyNumberFormat="1" applyFont="1" applyFill="1" applyBorder="1" applyAlignment="1">
      <alignment horizontal="center" vertical="center" wrapText="1"/>
    </xf>
    <xf numFmtId="181" fontId="2" fillId="6" borderId="10" xfId="0" applyNumberFormat="1" applyFont="1" applyFill="1" applyBorder="1" applyAlignment="1">
      <alignment horizontal="right" vertical="center" wrapText="1"/>
    </xf>
    <xf numFmtId="0" fontId="55" fillId="33" borderId="10" xfId="0" applyNumberFormat="1" applyFont="1" applyFill="1" applyBorder="1" applyAlignment="1">
      <alignment vertical="center" wrapText="1"/>
    </xf>
    <xf numFmtId="181" fontId="0" fillId="0" borderId="0" xfId="0" applyNumberFormat="1" applyAlignment="1">
      <alignment/>
    </xf>
    <xf numFmtId="49" fontId="11" fillId="33" borderId="10" xfId="0" applyNumberFormat="1" applyFont="1" applyFill="1" applyBorder="1" applyAlignment="1">
      <alignment horizontal="justify" vertical="top" wrapText="1"/>
    </xf>
    <xf numFmtId="0" fontId="7" fillId="0" borderId="0" xfId="0" applyFont="1" applyAlignment="1">
      <alignment horizontal="right" wrapText="1"/>
    </xf>
    <xf numFmtId="181" fontId="3" fillId="0" borderId="10" xfId="0" applyNumberFormat="1" applyFont="1" applyFill="1" applyBorder="1" applyAlignment="1">
      <alignment horizontal="right" vertical="center"/>
    </xf>
    <xf numFmtId="181" fontId="3" fillId="33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181" fontId="3" fillId="33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justify" vertical="center" wrapText="1"/>
    </xf>
    <xf numFmtId="188" fontId="3" fillId="33" borderId="10" xfId="0" applyNumberFormat="1" applyFont="1" applyFill="1" applyBorder="1" applyAlignment="1">
      <alignment horizontal="left" vertical="center" wrapText="1"/>
    </xf>
    <xf numFmtId="49" fontId="2" fillId="7" borderId="10" xfId="0" applyNumberFormat="1" applyFont="1" applyFill="1" applyBorder="1" applyAlignment="1">
      <alignment horizontal="center" vertical="center" wrapText="1"/>
    </xf>
    <xf numFmtId="181" fontId="3" fillId="7" borderId="10" xfId="0" applyNumberFormat="1" applyFont="1" applyFill="1" applyBorder="1" applyAlignment="1">
      <alignment horizontal="right" vertical="center"/>
    </xf>
    <xf numFmtId="188" fontId="11" fillId="33" borderId="10" xfId="0" applyNumberFormat="1" applyFont="1" applyFill="1" applyBorder="1" applyAlignment="1">
      <alignment horizontal="left" vertical="center" wrapText="1"/>
    </xf>
    <xf numFmtId="180" fontId="2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49" fontId="11" fillId="33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16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wrapText="1"/>
    </xf>
    <xf numFmtId="49" fontId="3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181" fontId="0" fillId="0" borderId="0" xfId="0" applyNumberFormat="1" applyFont="1" applyFill="1" applyAlignment="1">
      <alignment/>
    </xf>
    <xf numFmtId="181" fontId="3" fillId="33" borderId="10" xfId="0" applyNumberFormat="1" applyFont="1" applyFill="1" applyBorder="1" applyAlignment="1">
      <alignment horizontal="right" vertical="center"/>
    </xf>
    <xf numFmtId="4" fontId="2" fillId="6" borderId="10" xfId="0" applyNumberFormat="1" applyFont="1" applyFill="1" applyBorder="1" applyAlignment="1">
      <alignment horizontal="right" vertical="center"/>
    </xf>
    <xf numFmtId="4" fontId="9" fillId="7" borderId="10" xfId="0" applyNumberFormat="1" applyFont="1" applyFill="1" applyBorder="1" applyAlignment="1">
      <alignment horizontal="right" vertical="center" wrapText="1"/>
    </xf>
    <xf numFmtId="4" fontId="11" fillId="33" borderId="10" xfId="0" applyNumberFormat="1" applyFont="1" applyFill="1" applyBorder="1" applyAlignment="1">
      <alignment horizontal="right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181" fontId="3" fillId="35" borderId="10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/>
    </xf>
    <xf numFmtId="49" fontId="3" fillId="35" borderId="10" xfId="0" applyNumberFormat="1" applyFont="1" applyFill="1" applyBorder="1" applyAlignment="1">
      <alignment horizontal="justify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181" fontId="11" fillId="33" borderId="10" xfId="0" applyNumberFormat="1" applyFont="1" applyFill="1" applyBorder="1" applyAlignment="1">
      <alignment horizontal="right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2" fontId="11" fillId="6" borderId="10" xfId="0" applyNumberFormat="1" applyFont="1" applyFill="1" applyBorder="1" applyAlignment="1">
      <alignment horizontal="right" wrapText="1"/>
    </xf>
    <xf numFmtId="2" fontId="11" fillId="33" borderId="10" xfId="0" applyNumberFormat="1" applyFont="1" applyFill="1" applyBorder="1" applyAlignment="1">
      <alignment horizontal="right" wrapText="1"/>
    </xf>
    <xf numFmtId="0" fontId="3" fillId="0" borderId="10" xfId="0" applyNumberFormat="1" applyFont="1" applyFill="1" applyBorder="1" applyAlignment="1">
      <alignment horizontal="justify" vertical="center" wrapText="1"/>
    </xf>
    <xf numFmtId="181" fontId="11" fillId="33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right" vertical="center" wrapText="1"/>
    </xf>
    <xf numFmtId="181" fontId="9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196" fontId="11" fillId="0" borderId="10" xfId="0" applyNumberFormat="1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4" fontId="11" fillId="33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181" fontId="3" fillId="33" borderId="10" xfId="0" applyNumberFormat="1" applyFont="1" applyFill="1" applyBorder="1" applyAlignment="1">
      <alignment horizontal="right"/>
    </xf>
    <xf numFmtId="181" fontId="11" fillId="33" borderId="10" xfId="0" applyNumberFormat="1" applyFont="1" applyFill="1" applyBorder="1" applyAlignment="1">
      <alignment horizontal="right" wrapText="1"/>
    </xf>
    <xf numFmtId="181" fontId="3" fillId="33" borderId="1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horizontal="right" vertical="center"/>
    </xf>
    <xf numFmtId="4" fontId="11" fillId="33" borderId="10" xfId="0" applyNumberFormat="1" applyFont="1" applyFill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vertical="center" wrapText="1"/>
    </xf>
    <xf numFmtId="4" fontId="9" fillId="7" borderId="10" xfId="0" applyNumberFormat="1" applyFont="1" applyFill="1" applyBorder="1" applyAlignment="1">
      <alignment horizontal="right" vertical="center"/>
    </xf>
    <xf numFmtId="4" fontId="2" fillId="6" borderId="1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horizontal="right" vertical="center"/>
    </xf>
    <xf numFmtId="4" fontId="11" fillId="33" borderId="10" xfId="0" applyNumberFormat="1" applyFont="1" applyFill="1" applyBorder="1" applyAlignment="1">
      <alignment vertical="center"/>
    </xf>
    <xf numFmtId="2" fontId="2" fillId="6" borderId="10" xfId="0" applyNumberFormat="1" applyFont="1" applyFill="1" applyBorder="1" applyAlignment="1">
      <alignment horizontal="right"/>
    </xf>
    <xf numFmtId="181" fontId="2" fillId="6" borderId="10" xfId="0" applyNumberFormat="1" applyFont="1" applyFill="1" applyBorder="1" applyAlignment="1">
      <alignment horizontal="right"/>
    </xf>
    <xf numFmtId="189" fontId="11" fillId="33" borderId="10" xfId="0" applyNumberFormat="1" applyFont="1" applyFill="1" applyBorder="1" applyAlignment="1">
      <alignment horizontal="right" vertical="center" wrapText="1"/>
    </xf>
    <xf numFmtId="181" fontId="11" fillId="0" borderId="10" xfId="0" applyNumberFormat="1" applyFont="1" applyFill="1" applyBorder="1" applyAlignment="1">
      <alignment horizontal="right" vertical="center" wrapText="1"/>
    </xf>
    <xf numFmtId="181" fontId="3" fillId="33" borderId="10" xfId="0" applyNumberFormat="1" applyFont="1" applyFill="1" applyBorder="1" applyAlignment="1">
      <alignment horizontal="right" vertical="center"/>
    </xf>
    <xf numFmtId="181" fontId="9" fillId="7" borderId="10" xfId="0" applyNumberFormat="1" applyFont="1" applyFill="1" applyBorder="1" applyAlignment="1">
      <alignment vertical="center"/>
    </xf>
    <xf numFmtId="49" fontId="11" fillId="33" borderId="10" xfId="0" applyNumberFormat="1" applyFont="1" applyFill="1" applyBorder="1" applyAlignment="1">
      <alignment horizontal="right" vertical="center" wrapText="1"/>
    </xf>
    <xf numFmtId="181" fontId="11" fillId="0" borderId="10" xfId="0" applyNumberFormat="1" applyFont="1" applyBorder="1" applyAlignment="1">
      <alignment vertical="center"/>
    </xf>
    <xf numFmtId="181" fontId="3" fillId="33" borderId="10" xfId="0" applyNumberFormat="1" applyFont="1" applyFill="1" applyBorder="1" applyAlignment="1">
      <alignment vertical="center" wrapText="1"/>
    </xf>
    <xf numFmtId="181" fontId="3" fillId="33" borderId="10" xfId="0" applyNumberFormat="1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Fill="1" applyBorder="1" applyAlignment="1">
      <alignment wrapText="1"/>
    </xf>
    <xf numFmtId="186" fontId="11" fillId="33" borderId="10" xfId="0" applyNumberFormat="1" applyFont="1" applyFill="1" applyBorder="1" applyAlignment="1">
      <alignment horizontal="center" vertical="center" wrapText="1"/>
    </xf>
    <xf numFmtId="187" fontId="11" fillId="33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justify" vertical="center" wrapText="1"/>
    </xf>
    <xf numFmtId="181" fontId="2" fillId="6" borderId="10" xfId="0" applyNumberFormat="1" applyFont="1" applyFill="1" applyBorder="1" applyAlignment="1">
      <alignment vertical="center"/>
    </xf>
    <xf numFmtId="49" fontId="11" fillId="6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2" fillId="6" borderId="10" xfId="0" applyNumberFormat="1" applyFont="1" applyFill="1" applyBorder="1" applyAlignment="1">
      <alignment horizontal="left" vertical="center" wrapText="1"/>
    </xf>
    <xf numFmtId="49" fontId="9" fillId="7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0" fontId="11" fillId="33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0" fontId="11" fillId="35" borderId="10" xfId="0" applyFont="1" applyFill="1" applyBorder="1" applyAlignment="1">
      <alignment horizontal="justify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wrapText="1"/>
    </xf>
    <xf numFmtId="180" fontId="8" fillId="0" borderId="0" xfId="0" applyNumberFormat="1" applyFont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180" fontId="8" fillId="0" borderId="0" xfId="0" applyNumberFormat="1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2"/>
  <sheetViews>
    <sheetView tabSelected="1" view="pageBreakPreview" zoomScaleSheetLayoutView="100" workbookViewId="0" topLeftCell="A1">
      <selection activeCell="A11" sqref="A11:H11"/>
    </sheetView>
  </sheetViews>
  <sheetFormatPr defaultColWidth="9.140625" defaultRowHeight="9.75" customHeight="1"/>
  <cols>
    <col min="1" max="1" width="75.57421875" style="19" customWidth="1"/>
    <col min="2" max="2" width="16.140625" style="19" customWidth="1"/>
    <col min="3" max="3" width="6.57421875" style="19" customWidth="1"/>
    <col min="4" max="4" width="14.00390625" style="19" customWidth="1"/>
    <col min="5" max="5" width="11.421875" style="19" customWidth="1"/>
    <col min="6" max="6" width="13.8515625" style="19" customWidth="1"/>
    <col min="7" max="7" width="14.7109375" style="19" customWidth="1"/>
    <col min="8" max="8" width="13.57421875" style="19" customWidth="1"/>
    <col min="9" max="9" width="15.28125" style="19" customWidth="1"/>
    <col min="10" max="10" width="12.57421875" style="19" customWidth="1"/>
    <col min="11" max="11" width="10.7109375" style="19" customWidth="1"/>
    <col min="12" max="12" width="13.28125" style="19" customWidth="1"/>
    <col min="13" max="16384" width="9.140625" style="19" customWidth="1"/>
  </cols>
  <sheetData>
    <row r="1" spans="7:13" ht="15.75">
      <c r="G1" s="188" t="s">
        <v>451</v>
      </c>
      <c r="H1" s="188"/>
      <c r="I1" s="128"/>
      <c r="J1" s="128"/>
      <c r="K1" s="128"/>
      <c r="L1" s="128"/>
      <c r="M1" s="128"/>
    </row>
    <row r="2" spans="6:13" ht="12.75">
      <c r="F2" s="189" t="s">
        <v>238</v>
      </c>
      <c r="G2" s="189"/>
      <c r="H2" s="189"/>
      <c r="I2" s="127"/>
      <c r="J2" s="127"/>
      <c r="K2" s="127"/>
      <c r="L2" s="127"/>
      <c r="M2" s="127"/>
    </row>
    <row r="3" spans="6:13" ht="12.75">
      <c r="F3" s="189" t="s">
        <v>244</v>
      </c>
      <c r="G3" s="189"/>
      <c r="H3" s="189"/>
      <c r="I3" s="127"/>
      <c r="J3" s="127"/>
      <c r="K3" s="127"/>
      <c r="L3" s="127"/>
      <c r="M3" s="127"/>
    </row>
    <row r="4" spans="6:13" ht="12.75">
      <c r="F4" s="189" t="s">
        <v>467</v>
      </c>
      <c r="G4" s="189"/>
      <c r="H4" s="189"/>
      <c r="I4" s="127"/>
      <c r="J4" s="127"/>
      <c r="K4" s="127"/>
      <c r="L4" s="127"/>
      <c r="M4" s="127"/>
    </row>
    <row r="5" spans="6:13" ht="12.75">
      <c r="F5" s="126"/>
      <c r="G5" s="126"/>
      <c r="H5" s="126"/>
      <c r="I5" s="127"/>
      <c r="J5" s="127"/>
      <c r="K5" s="127"/>
      <c r="L5" s="127"/>
      <c r="M5" s="127"/>
    </row>
    <row r="6" spans="2:8" ht="15.75">
      <c r="B6" s="188" t="s">
        <v>219</v>
      </c>
      <c r="C6" s="188"/>
      <c r="D6" s="188"/>
      <c r="E6" s="188"/>
      <c r="F6" s="188"/>
      <c r="G6" s="188"/>
      <c r="H6" s="188"/>
    </row>
    <row r="7" spans="2:8" ht="12.75">
      <c r="B7" s="86"/>
      <c r="C7" s="86"/>
      <c r="D7" s="86"/>
      <c r="E7" s="86"/>
      <c r="F7" s="184" t="s">
        <v>238</v>
      </c>
      <c r="G7" s="184"/>
      <c r="H7" s="184"/>
    </row>
    <row r="8" spans="2:8" ht="12.75">
      <c r="B8" s="86"/>
      <c r="C8" s="86"/>
      <c r="D8" s="86"/>
      <c r="E8" s="86"/>
      <c r="F8" s="184" t="s">
        <v>244</v>
      </c>
      <c r="G8" s="184"/>
      <c r="H8" s="184"/>
    </row>
    <row r="9" spans="2:8" ht="12.75">
      <c r="B9" s="86"/>
      <c r="C9" s="86"/>
      <c r="D9" s="86"/>
      <c r="E9" s="86"/>
      <c r="F9" s="184" t="s">
        <v>386</v>
      </c>
      <c r="G9" s="184"/>
      <c r="H9" s="184"/>
    </row>
    <row r="10" ht="12.75"/>
    <row r="11" spans="1:8" ht="57.75" customHeight="1">
      <c r="A11" s="185" t="s">
        <v>288</v>
      </c>
      <c r="B11" s="185"/>
      <c r="C11" s="185"/>
      <c r="D11" s="185"/>
      <c r="E11" s="185"/>
      <c r="F11" s="185"/>
      <c r="G11" s="185"/>
      <c r="H11" s="185"/>
    </row>
    <row r="12" spans="1:7" ht="12.75">
      <c r="A12" s="1" t="s">
        <v>0</v>
      </c>
      <c r="B12" s="1" t="s">
        <v>0</v>
      </c>
      <c r="C12" s="1" t="s">
        <v>0</v>
      </c>
      <c r="D12" s="1"/>
      <c r="E12" s="1"/>
      <c r="F12" s="1"/>
      <c r="G12" s="1"/>
    </row>
    <row r="13" spans="1:8" ht="18" customHeight="1">
      <c r="A13" s="186" t="s">
        <v>3</v>
      </c>
      <c r="B13" s="190" t="s">
        <v>1</v>
      </c>
      <c r="C13" s="190" t="s">
        <v>2</v>
      </c>
      <c r="D13" s="186" t="s">
        <v>423</v>
      </c>
      <c r="E13" s="186" t="s">
        <v>389</v>
      </c>
      <c r="F13" s="192" t="s">
        <v>240</v>
      </c>
      <c r="G13" s="192"/>
      <c r="H13" s="192"/>
    </row>
    <row r="14" spans="1:8" ht="29.25" customHeight="1">
      <c r="A14" s="187"/>
      <c r="B14" s="191"/>
      <c r="C14" s="191"/>
      <c r="D14" s="187"/>
      <c r="E14" s="187"/>
      <c r="F14" s="105" t="s">
        <v>237</v>
      </c>
      <c r="G14" s="105" t="s">
        <v>239</v>
      </c>
      <c r="H14" s="105" t="s">
        <v>289</v>
      </c>
    </row>
    <row r="15" spans="1:8" s="2" customFormat="1" ht="15" customHeight="1">
      <c r="A15" s="25" t="s">
        <v>4</v>
      </c>
      <c r="B15" s="25" t="s">
        <v>5</v>
      </c>
      <c r="C15" s="25" t="s">
        <v>6</v>
      </c>
      <c r="D15" s="25">
        <v>4</v>
      </c>
      <c r="E15" s="25">
        <v>5</v>
      </c>
      <c r="F15" s="25">
        <v>4</v>
      </c>
      <c r="G15" s="25">
        <v>5</v>
      </c>
      <c r="H15" s="25">
        <v>6</v>
      </c>
    </row>
    <row r="16" spans="1:12" ht="18.75">
      <c r="A16" s="28" t="s">
        <v>7</v>
      </c>
      <c r="B16" s="5" t="s">
        <v>0</v>
      </c>
      <c r="C16" s="5" t="s">
        <v>0</v>
      </c>
      <c r="D16" s="6">
        <f>D17+D32+D39+D109+D196+D249+D274+D343+D364+D386</f>
        <v>1996273.0999999999</v>
      </c>
      <c r="E16" s="6">
        <f>E17+E32+E39+E109+E196+E249+E274+E343+E364+E386</f>
        <v>92896.2</v>
      </c>
      <c r="F16" s="6">
        <f>F17+F32+F39+F109+F196+F249+F274+F343+F364+F386</f>
        <v>2089169.3</v>
      </c>
      <c r="G16" s="6">
        <f>G17+G32+G39+G109+G196+G249+G274+G343+G364+G386</f>
        <v>1846998.0999999996</v>
      </c>
      <c r="H16" s="6">
        <f>H17+H32+H39+H109+H196+H249+H274+H343+H364+H386</f>
        <v>1908919.3999999997</v>
      </c>
      <c r="I16" s="26"/>
      <c r="J16" s="26">
        <f>F16-'2020-2022 год Приложение  4'!G16</f>
        <v>0</v>
      </c>
      <c r="K16" s="26">
        <f>G16-'2020-2022 год Приложение  4'!H16</f>
        <v>0</v>
      </c>
      <c r="L16" s="26">
        <f>H16-'2020-2022 год Приложение  4'!I16</f>
        <v>0</v>
      </c>
    </row>
    <row r="17" spans="1:10" ht="15.75">
      <c r="A17" s="29" t="s">
        <v>291</v>
      </c>
      <c r="B17" s="30" t="s">
        <v>94</v>
      </c>
      <c r="C17" s="30" t="s">
        <v>0</v>
      </c>
      <c r="D17" s="31">
        <f>D21+D18</f>
        <v>1621.8</v>
      </c>
      <c r="E17" s="31">
        <f>E21+E18</f>
        <v>0</v>
      </c>
      <c r="F17" s="31">
        <f>F21+F18</f>
        <v>1621.8</v>
      </c>
      <c r="G17" s="31">
        <f>G21+G18</f>
        <v>1049.3</v>
      </c>
      <c r="H17" s="31">
        <f>H21+H18</f>
        <v>1049.3</v>
      </c>
      <c r="I17" s="26"/>
      <c r="J17" s="26"/>
    </row>
    <row r="18" spans="1:10" ht="31.5">
      <c r="A18" s="13" t="s">
        <v>292</v>
      </c>
      <c r="B18" s="11" t="s">
        <v>207</v>
      </c>
      <c r="C18" s="11" t="s">
        <v>0</v>
      </c>
      <c r="D18" s="12">
        <f aca="true" t="shared" si="0" ref="D18:H19">D19</f>
        <v>100</v>
      </c>
      <c r="E18" s="12">
        <f t="shared" si="0"/>
        <v>0</v>
      </c>
      <c r="F18" s="12">
        <f t="shared" si="0"/>
        <v>100</v>
      </c>
      <c r="G18" s="12">
        <f t="shared" si="0"/>
        <v>100</v>
      </c>
      <c r="H18" s="12">
        <f t="shared" si="0"/>
        <v>100</v>
      </c>
      <c r="I18" s="26"/>
      <c r="J18" s="26"/>
    </row>
    <row r="19" spans="1:10" ht="31.5">
      <c r="A19" s="45" t="s">
        <v>218</v>
      </c>
      <c r="B19" s="15" t="s">
        <v>216</v>
      </c>
      <c r="C19" s="42"/>
      <c r="D19" s="20">
        <f t="shared" si="0"/>
        <v>100</v>
      </c>
      <c r="E19" s="20">
        <f t="shared" si="0"/>
        <v>0</v>
      </c>
      <c r="F19" s="20">
        <f t="shared" si="0"/>
        <v>100</v>
      </c>
      <c r="G19" s="20">
        <f t="shared" si="0"/>
        <v>100</v>
      </c>
      <c r="H19" s="20">
        <f t="shared" si="0"/>
        <v>100</v>
      </c>
      <c r="I19" s="26"/>
      <c r="J19" s="26"/>
    </row>
    <row r="20" spans="1:10" ht="47.25">
      <c r="A20" s="45" t="s">
        <v>453</v>
      </c>
      <c r="B20" s="15" t="s">
        <v>216</v>
      </c>
      <c r="C20" s="42" t="s">
        <v>8</v>
      </c>
      <c r="D20" s="20">
        <f>'2020-2022 год Приложение  4'!E33</f>
        <v>100</v>
      </c>
      <c r="E20" s="20">
        <f>'2020-2022 год Приложение  4'!F33</f>
        <v>0</v>
      </c>
      <c r="F20" s="20">
        <f>'2020-2022 год Приложение  4'!G33</f>
        <v>100</v>
      </c>
      <c r="G20" s="20">
        <f>'2020-2022 год Приложение  4'!H33</f>
        <v>100</v>
      </c>
      <c r="H20" s="20">
        <f>'2020-2022 год Приложение  4'!I33</f>
        <v>100</v>
      </c>
      <c r="I20" s="26"/>
      <c r="J20" s="26"/>
    </row>
    <row r="21" spans="1:10" ht="15.75">
      <c r="A21" s="13" t="s">
        <v>293</v>
      </c>
      <c r="B21" s="81" t="s">
        <v>95</v>
      </c>
      <c r="C21" s="11" t="s">
        <v>0</v>
      </c>
      <c r="D21" s="12">
        <f>D24+D22+D26+D30+D28</f>
        <v>1521.8</v>
      </c>
      <c r="E21" s="12">
        <f>E24+E22+E26+E30+E28</f>
        <v>0</v>
      </c>
      <c r="F21" s="12">
        <f>F24+F22+F26+F30+F28</f>
        <v>1521.8</v>
      </c>
      <c r="G21" s="12">
        <f>G24+G22+G26+G30+G28</f>
        <v>949.3</v>
      </c>
      <c r="H21" s="12">
        <f>H24+H22+H26+H30+H28</f>
        <v>949.3</v>
      </c>
      <c r="I21" s="26"/>
      <c r="J21" s="26"/>
    </row>
    <row r="22" spans="1:10" ht="15.75">
      <c r="A22" s="45" t="s">
        <v>209</v>
      </c>
      <c r="B22" s="15" t="s">
        <v>208</v>
      </c>
      <c r="C22" s="42"/>
      <c r="D22" s="20">
        <f>D23</f>
        <v>120</v>
      </c>
      <c r="E22" s="20">
        <f>E23</f>
        <v>0</v>
      </c>
      <c r="F22" s="20">
        <f>F23</f>
        <v>120</v>
      </c>
      <c r="G22" s="20">
        <f>G23</f>
        <v>120</v>
      </c>
      <c r="H22" s="20">
        <f>H23</f>
        <v>120</v>
      </c>
      <c r="I22" s="26"/>
      <c r="J22" s="26"/>
    </row>
    <row r="23" spans="1:10" ht="47.25">
      <c r="A23" s="45" t="s">
        <v>453</v>
      </c>
      <c r="B23" s="15" t="s">
        <v>208</v>
      </c>
      <c r="C23" s="42" t="s">
        <v>8</v>
      </c>
      <c r="D23" s="20">
        <f>'2020-2022 год Приложение  4'!E36</f>
        <v>120</v>
      </c>
      <c r="E23" s="20">
        <f>'2020-2022 год Приложение  4'!F36</f>
        <v>0</v>
      </c>
      <c r="F23" s="20">
        <f>'2020-2022 год Приложение  4'!G36</f>
        <v>120</v>
      </c>
      <c r="G23" s="20">
        <f>'2020-2022 год Приложение  4'!H36</f>
        <v>120</v>
      </c>
      <c r="H23" s="20">
        <f>'2020-2022 год Приложение  4'!I36</f>
        <v>120</v>
      </c>
      <c r="I23" s="26"/>
      <c r="J23" s="26"/>
    </row>
    <row r="24" spans="1:10" ht="33.75" customHeight="1">
      <c r="A24" s="45" t="s">
        <v>210</v>
      </c>
      <c r="B24" s="15" t="s">
        <v>217</v>
      </c>
      <c r="C24" s="42"/>
      <c r="D24" s="20">
        <f>D25</f>
        <v>139.3</v>
      </c>
      <c r="E24" s="20">
        <f>E25</f>
        <v>0</v>
      </c>
      <c r="F24" s="20">
        <f>F25</f>
        <v>139.3</v>
      </c>
      <c r="G24" s="20">
        <f>G25</f>
        <v>139.3</v>
      </c>
      <c r="H24" s="20">
        <f>H25</f>
        <v>139.3</v>
      </c>
      <c r="I24" s="26"/>
      <c r="J24" s="26"/>
    </row>
    <row r="25" spans="1:10" ht="47.25">
      <c r="A25" s="45" t="s">
        <v>453</v>
      </c>
      <c r="B25" s="15" t="s">
        <v>217</v>
      </c>
      <c r="C25" s="42" t="s">
        <v>8</v>
      </c>
      <c r="D25" s="20">
        <f>'2020-2022 год Приложение  4'!E38</f>
        <v>139.3</v>
      </c>
      <c r="E25" s="20">
        <f>'2020-2022 год Приложение  4'!F38</f>
        <v>0</v>
      </c>
      <c r="F25" s="20">
        <f>'2020-2022 год Приложение  4'!G38</f>
        <v>139.3</v>
      </c>
      <c r="G25" s="20">
        <f>'2020-2022 год Приложение  4'!H38</f>
        <v>139.3</v>
      </c>
      <c r="H25" s="20">
        <f>'2020-2022 год Приложение  4'!I38</f>
        <v>139.3</v>
      </c>
      <c r="I25" s="26"/>
      <c r="J25" s="26"/>
    </row>
    <row r="26" spans="1:10" ht="31.5">
      <c r="A26" s="45" t="s">
        <v>235</v>
      </c>
      <c r="B26" s="15" t="s">
        <v>234</v>
      </c>
      <c r="C26" s="42"/>
      <c r="D26" s="20">
        <f>D27</f>
        <v>690</v>
      </c>
      <c r="E26" s="20">
        <f>E27</f>
        <v>0</v>
      </c>
      <c r="F26" s="20">
        <f>F27</f>
        <v>690</v>
      </c>
      <c r="G26" s="20">
        <f>G27</f>
        <v>690</v>
      </c>
      <c r="H26" s="20">
        <f>H27</f>
        <v>690</v>
      </c>
      <c r="I26" s="26"/>
      <c r="J26" s="26"/>
    </row>
    <row r="27" spans="1:10" ht="15.75">
      <c r="A27" s="45" t="s">
        <v>9</v>
      </c>
      <c r="B27" s="15" t="s">
        <v>234</v>
      </c>
      <c r="C27" s="42" t="s">
        <v>12</v>
      </c>
      <c r="D27" s="20">
        <f>'2020-2022 год Приложение  4'!E40</f>
        <v>690</v>
      </c>
      <c r="E27" s="20">
        <f>'2020-2022 год Приложение  4'!F40</f>
        <v>0</v>
      </c>
      <c r="F27" s="20">
        <f>'2020-2022 год Приложение  4'!G40</f>
        <v>690</v>
      </c>
      <c r="G27" s="20">
        <f>'2020-2022 год Приложение  4'!H40</f>
        <v>690</v>
      </c>
      <c r="H27" s="20">
        <f>'2020-2022 год Приложение  4'!I40</f>
        <v>690</v>
      </c>
      <c r="I27" s="26"/>
      <c r="J27" s="26"/>
    </row>
    <row r="28" spans="1:10" ht="47.25">
      <c r="A28" s="45" t="s">
        <v>331</v>
      </c>
      <c r="B28" s="15" t="s">
        <v>446</v>
      </c>
      <c r="C28" s="42"/>
      <c r="D28" s="20">
        <f>D29</f>
        <v>0.5</v>
      </c>
      <c r="E28" s="20">
        <f>E29</f>
        <v>0</v>
      </c>
      <c r="F28" s="20">
        <f>F29</f>
        <v>0.5</v>
      </c>
      <c r="G28" s="20">
        <f>G29</f>
        <v>0</v>
      </c>
      <c r="H28" s="20">
        <f>H29</f>
        <v>0</v>
      </c>
      <c r="I28" s="26"/>
      <c r="J28" s="26"/>
    </row>
    <row r="29" spans="1:10" ht="15.75">
      <c r="A29" s="45" t="s">
        <v>9</v>
      </c>
      <c r="B29" s="15" t="s">
        <v>446</v>
      </c>
      <c r="C29" s="42" t="s">
        <v>12</v>
      </c>
      <c r="D29" s="20">
        <f>'2020-2022 год Приложение  4'!E42</f>
        <v>0.5</v>
      </c>
      <c r="E29" s="20">
        <f>'2020-2022 год Приложение  4'!F42</f>
        <v>0</v>
      </c>
      <c r="F29" s="20">
        <f>D29+E29</f>
        <v>0.5</v>
      </c>
      <c r="G29" s="20">
        <f>'2020-2022 год Приложение  4'!H42</f>
        <v>0</v>
      </c>
      <c r="H29" s="20">
        <f>'2020-2022 год Приложение  4'!I42</f>
        <v>0</v>
      </c>
      <c r="I29" s="26"/>
      <c r="J29" s="26"/>
    </row>
    <row r="30" spans="1:10" ht="63">
      <c r="A30" s="45" t="s">
        <v>440</v>
      </c>
      <c r="B30" s="15" t="s">
        <v>441</v>
      </c>
      <c r="C30" s="42"/>
      <c r="D30" s="20">
        <f>D31</f>
        <v>572</v>
      </c>
      <c r="E30" s="20">
        <f>E31</f>
        <v>0</v>
      </c>
      <c r="F30" s="20">
        <f>F31</f>
        <v>572</v>
      </c>
      <c r="G30" s="20">
        <f>G31</f>
        <v>0</v>
      </c>
      <c r="H30" s="20">
        <f>H31</f>
        <v>0</v>
      </c>
      <c r="I30" s="26"/>
      <c r="J30" s="26"/>
    </row>
    <row r="31" spans="1:10" ht="15.75">
      <c r="A31" s="45" t="s">
        <v>9</v>
      </c>
      <c r="B31" s="15" t="s">
        <v>441</v>
      </c>
      <c r="C31" s="42" t="s">
        <v>12</v>
      </c>
      <c r="D31" s="20">
        <f>'2020-2022 год Приложение  4'!E44</f>
        <v>572</v>
      </c>
      <c r="E31" s="20">
        <f>'2020-2022 год Приложение  4'!F44</f>
        <v>0</v>
      </c>
      <c r="F31" s="20">
        <f>D31+E31</f>
        <v>572</v>
      </c>
      <c r="G31" s="20">
        <f>'2020-2022 год Приложение  4'!H44</f>
        <v>0</v>
      </c>
      <c r="H31" s="20">
        <f>'2020-2022 год Приложение  4'!I44</f>
        <v>0</v>
      </c>
      <c r="I31" s="26"/>
      <c r="J31" s="26"/>
    </row>
    <row r="32" spans="1:10" ht="31.5">
      <c r="A32" s="29" t="s">
        <v>294</v>
      </c>
      <c r="B32" s="30" t="s">
        <v>145</v>
      </c>
      <c r="C32" s="30" t="s">
        <v>0</v>
      </c>
      <c r="D32" s="31">
        <f>D33+D36</f>
        <v>1088.5</v>
      </c>
      <c r="E32" s="31">
        <f>E33+E36</f>
        <v>0</v>
      </c>
      <c r="F32" s="31">
        <f>F33+F36</f>
        <v>1088.5</v>
      </c>
      <c r="G32" s="31">
        <f>G33+G36</f>
        <v>120</v>
      </c>
      <c r="H32" s="31">
        <f>H33+H36</f>
        <v>120</v>
      </c>
      <c r="I32" s="26"/>
      <c r="J32" s="26"/>
    </row>
    <row r="33" spans="1:10" ht="15.75">
      <c r="A33" s="10" t="s">
        <v>295</v>
      </c>
      <c r="B33" s="11" t="s">
        <v>146</v>
      </c>
      <c r="C33" s="11" t="s">
        <v>0</v>
      </c>
      <c r="D33" s="12">
        <f aca="true" t="shared" si="1" ref="D33:H34">D34</f>
        <v>120</v>
      </c>
      <c r="E33" s="12">
        <f t="shared" si="1"/>
        <v>0</v>
      </c>
      <c r="F33" s="12">
        <f t="shared" si="1"/>
        <v>120</v>
      </c>
      <c r="G33" s="12">
        <f t="shared" si="1"/>
        <v>120</v>
      </c>
      <c r="H33" s="12">
        <f t="shared" si="1"/>
        <v>120</v>
      </c>
      <c r="I33" s="26"/>
      <c r="J33" s="26"/>
    </row>
    <row r="34" spans="1:10" ht="15.75">
      <c r="A34" s="14" t="s">
        <v>23</v>
      </c>
      <c r="B34" s="7" t="s">
        <v>329</v>
      </c>
      <c r="C34" s="7"/>
      <c r="D34" s="20">
        <f t="shared" si="1"/>
        <v>120</v>
      </c>
      <c r="E34" s="20">
        <f t="shared" si="1"/>
        <v>0</v>
      </c>
      <c r="F34" s="20">
        <f t="shared" si="1"/>
        <v>120</v>
      </c>
      <c r="G34" s="20">
        <f t="shared" si="1"/>
        <v>120</v>
      </c>
      <c r="H34" s="20">
        <f t="shared" si="1"/>
        <v>120</v>
      </c>
      <c r="I34" s="26"/>
      <c r="J34" s="26"/>
    </row>
    <row r="35" spans="1:10" ht="47.25">
      <c r="A35" s="45" t="s">
        <v>453</v>
      </c>
      <c r="B35" s="7" t="s">
        <v>329</v>
      </c>
      <c r="C35" s="42" t="s">
        <v>8</v>
      </c>
      <c r="D35" s="20">
        <f>'2020-2022 год Приложение  4'!E48</f>
        <v>120</v>
      </c>
      <c r="E35" s="20">
        <f>'2020-2022 год Приложение  4'!F48</f>
        <v>0</v>
      </c>
      <c r="F35" s="20">
        <f>'2020-2022 год Приложение  4'!G48</f>
        <v>120</v>
      </c>
      <c r="G35" s="20">
        <f>'2020-2022 год Приложение  4'!H48</f>
        <v>120</v>
      </c>
      <c r="H35" s="20">
        <f>'2020-2022 год Приложение  4'!I48</f>
        <v>120</v>
      </c>
      <c r="I35" s="26"/>
      <c r="J35" s="26"/>
    </row>
    <row r="36" spans="1:10" ht="15.75">
      <c r="A36" s="10" t="s">
        <v>296</v>
      </c>
      <c r="B36" s="11" t="s">
        <v>286</v>
      </c>
      <c r="C36" s="11"/>
      <c r="D36" s="12">
        <f aca="true" t="shared" si="2" ref="D36:H37">D37</f>
        <v>968.5</v>
      </c>
      <c r="E36" s="12">
        <f t="shared" si="2"/>
        <v>0</v>
      </c>
      <c r="F36" s="12">
        <f t="shared" si="2"/>
        <v>968.5</v>
      </c>
      <c r="G36" s="12">
        <f t="shared" si="2"/>
        <v>0</v>
      </c>
      <c r="H36" s="12">
        <f t="shared" si="2"/>
        <v>0</v>
      </c>
      <c r="I36" s="26"/>
      <c r="J36" s="26"/>
    </row>
    <row r="37" spans="1:10" ht="31.5">
      <c r="A37" s="14" t="s">
        <v>287</v>
      </c>
      <c r="B37" s="7" t="s">
        <v>330</v>
      </c>
      <c r="C37" s="7"/>
      <c r="D37" s="20">
        <f t="shared" si="2"/>
        <v>968.5</v>
      </c>
      <c r="E37" s="20">
        <f t="shared" si="2"/>
        <v>0</v>
      </c>
      <c r="F37" s="20">
        <f t="shared" si="2"/>
        <v>968.5</v>
      </c>
      <c r="G37" s="20">
        <f t="shared" si="2"/>
        <v>0</v>
      </c>
      <c r="H37" s="20">
        <f t="shared" si="2"/>
        <v>0</v>
      </c>
      <c r="I37" s="26"/>
      <c r="J37" s="26"/>
    </row>
    <row r="38" spans="1:10" ht="47.25">
      <c r="A38" s="45" t="s">
        <v>453</v>
      </c>
      <c r="B38" s="7" t="s">
        <v>330</v>
      </c>
      <c r="C38" s="42" t="s">
        <v>8</v>
      </c>
      <c r="D38" s="20">
        <f>'2020-2022 год Приложение  4'!E51</f>
        <v>968.5</v>
      </c>
      <c r="E38" s="20">
        <f>'2020-2022 год Приложение  4'!F51</f>
        <v>0</v>
      </c>
      <c r="F38" s="20">
        <f>'2020-2022 год Приложение  4'!G51</f>
        <v>968.5</v>
      </c>
      <c r="G38" s="20">
        <f>'2020-2022 год Приложение  4'!H51</f>
        <v>0</v>
      </c>
      <c r="H38" s="20">
        <f>'2020-2022 год Приложение  4'!I51</f>
        <v>0</v>
      </c>
      <c r="I38" s="26"/>
      <c r="J38" s="26"/>
    </row>
    <row r="39" spans="1:11" ht="31.5">
      <c r="A39" s="29" t="s">
        <v>297</v>
      </c>
      <c r="B39" s="30" t="s">
        <v>173</v>
      </c>
      <c r="C39" s="30" t="s">
        <v>0</v>
      </c>
      <c r="D39" s="31">
        <f>D40+D49+D97+D80+D102</f>
        <v>138926.80000000002</v>
      </c>
      <c r="E39" s="31">
        <f>E40+E49+E97+E80+E102</f>
        <v>66216.8</v>
      </c>
      <c r="F39" s="31">
        <f>F40+F49+F97+F80+F102</f>
        <v>205143.60000000003</v>
      </c>
      <c r="G39" s="31">
        <f>G40+G49+G97+G80+G102</f>
        <v>96826.09999999999</v>
      </c>
      <c r="H39" s="31">
        <f>H40+H49+H97+H80+H102</f>
        <v>95821.69999999998</v>
      </c>
      <c r="I39" s="26"/>
      <c r="J39" s="26"/>
      <c r="K39" s="26"/>
    </row>
    <row r="40" spans="1:11" ht="31.5">
      <c r="A40" s="10" t="s">
        <v>298</v>
      </c>
      <c r="B40" s="11" t="s">
        <v>174</v>
      </c>
      <c r="C40" s="11" t="s">
        <v>0</v>
      </c>
      <c r="D40" s="12">
        <f>D41+D45+D47+D43</f>
        <v>37785.5</v>
      </c>
      <c r="E40" s="12">
        <f>E41+E45+E47+E43</f>
        <v>-3089.5</v>
      </c>
      <c r="F40" s="12">
        <f>F41+F45+F47+F43</f>
        <v>34696</v>
      </c>
      <c r="G40" s="12">
        <f>G41+G45+G47+G43</f>
        <v>19860.2</v>
      </c>
      <c r="H40" s="12">
        <f>H41+H45+H47+H43</f>
        <v>22804</v>
      </c>
      <c r="I40" s="26"/>
      <c r="J40" s="26"/>
      <c r="K40" s="26"/>
    </row>
    <row r="41" spans="1:10" ht="31.5">
      <c r="A41" s="14" t="s">
        <v>229</v>
      </c>
      <c r="B41" s="42" t="s">
        <v>339</v>
      </c>
      <c r="C41" s="7"/>
      <c r="D41" s="8">
        <f>D42</f>
        <v>8232.8</v>
      </c>
      <c r="E41" s="8">
        <f>E42</f>
        <v>410.5</v>
      </c>
      <c r="F41" s="8">
        <f>F42</f>
        <v>8643.3</v>
      </c>
      <c r="G41" s="8">
        <f>G42</f>
        <v>3000</v>
      </c>
      <c r="H41" s="8">
        <f>H42</f>
        <v>7000</v>
      </c>
      <c r="I41" s="26"/>
      <c r="J41" s="26"/>
    </row>
    <row r="42" spans="1:10" ht="47.25">
      <c r="A42" s="45" t="s">
        <v>453</v>
      </c>
      <c r="B42" s="42" t="s">
        <v>339</v>
      </c>
      <c r="C42" s="42" t="s">
        <v>8</v>
      </c>
      <c r="D42" s="20">
        <f>'2020-2022 год Приложение  4'!E55</f>
        <v>8232.8</v>
      </c>
      <c r="E42" s="20">
        <f>'2020-2022 год Приложение  4'!F55</f>
        <v>410.5</v>
      </c>
      <c r="F42" s="20">
        <f>'2020-2022 год Приложение  4'!G55</f>
        <v>8643.3</v>
      </c>
      <c r="G42" s="20">
        <f>'2020-2022 год Приложение  4'!H55</f>
        <v>3000</v>
      </c>
      <c r="H42" s="20">
        <f>'2020-2022 год Приложение  4'!I55</f>
        <v>7000</v>
      </c>
      <c r="I42" s="26"/>
      <c r="J42" s="26"/>
    </row>
    <row r="43" spans="1:10" ht="40.5" customHeight="1">
      <c r="A43" s="14" t="s">
        <v>340</v>
      </c>
      <c r="B43" s="42" t="s">
        <v>341</v>
      </c>
      <c r="C43" s="42"/>
      <c r="D43" s="20">
        <f>D44</f>
        <v>94</v>
      </c>
      <c r="E43" s="20">
        <f>E44</f>
        <v>0</v>
      </c>
      <c r="F43" s="20">
        <f>F44</f>
        <v>94</v>
      </c>
      <c r="G43" s="20">
        <f>G44</f>
        <v>0</v>
      </c>
      <c r="H43" s="20">
        <f>H44</f>
        <v>0</v>
      </c>
      <c r="I43" s="26"/>
      <c r="J43" s="26"/>
    </row>
    <row r="44" spans="1:10" ht="47.25">
      <c r="A44" s="45" t="s">
        <v>453</v>
      </c>
      <c r="B44" s="42" t="s">
        <v>341</v>
      </c>
      <c r="C44" s="42" t="s">
        <v>8</v>
      </c>
      <c r="D44" s="20">
        <f>'2020-2022 год Приложение  4'!E57</f>
        <v>94</v>
      </c>
      <c r="E44" s="20">
        <f>'2020-2022 год Приложение  4'!F57</f>
        <v>0</v>
      </c>
      <c r="F44" s="20">
        <f>'2020-2022 год Приложение  4'!G57</f>
        <v>94</v>
      </c>
      <c r="G44" s="20">
        <f>'2020-2022 год Приложение  4'!H57</f>
        <v>0</v>
      </c>
      <c r="H44" s="20">
        <f>'2020-2022 год Приложение  4'!I57</f>
        <v>0</v>
      </c>
      <c r="I44" s="26"/>
      <c r="J44" s="26"/>
    </row>
    <row r="45" spans="1:10" ht="31.5">
      <c r="A45" s="18" t="s">
        <v>45</v>
      </c>
      <c r="B45" s="42" t="s">
        <v>342</v>
      </c>
      <c r="C45" s="9"/>
      <c r="D45" s="8">
        <f>D46</f>
        <v>22633.7</v>
      </c>
      <c r="E45" s="8">
        <f>E46</f>
        <v>-3500</v>
      </c>
      <c r="F45" s="8">
        <f>F46</f>
        <v>19133.7</v>
      </c>
      <c r="G45" s="8">
        <f>G46</f>
        <v>10035.2</v>
      </c>
      <c r="H45" s="8">
        <f>H46</f>
        <v>8979</v>
      </c>
      <c r="I45" s="26"/>
      <c r="J45" s="26"/>
    </row>
    <row r="46" spans="1:10" ht="47.25">
      <c r="A46" s="45" t="s">
        <v>453</v>
      </c>
      <c r="B46" s="42" t="s">
        <v>342</v>
      </c>
      <c r="C46" s="42" t="s">
        <v>8</v>
      </c>
      <c r="D46" s="20">
        <f>'2020-2022 год Приложение  4'!E59</f>
        <v>22633.7</v>
      </c>
      <c r="E46" s="20">
        <f>'2020-2022 год Приложение  4'!F59</f>
        <v>-3500</v>
      </c>
      <c r="F46" s="20">
        <f>'2020-2022 год Приложение  4'!G59</f>
        <v>19133.7</v>
      </c>
      <c r="G46" s="20">
        <f>'2020-2022 год Приложение  4'!H59</f>
        <v>10035.2</v>
      </c>
      <c r="H46" s="20">
        <f>'2020-2022 год Приложение  4'!I59</f>
        <v>8979</v>
      </c>
      <c r="I46" s="26"/>
      <c r="J46" s="26"/>
    </row>
    <row r="47" spans="1:11" ht="47.25">
      <c r="A47" s="40" t="s">
        <v>65</v>
      </c>
      <c r="B47" s="27" t="s">
        <v>343</v>
      </c>
      <c r="C47" s="57"/>
      <c r="D47" s="20">
        <f>'2020-2022 год Приложение  4'!E60</f>
        <v>6825</v>
      </c>
      <c r="E47" s="20">
        <f>'2020-2022 год Приложение  4'!F60</f>
        <v>0</v>
      </c>
      <c r="F47" s="20">
        <f>'2020-2022 год Приложение  4'!G60</f>
        <v>6825</v>
      </c>
      <c r="G47" s="20">
        <f>'2020-2022 год Приложение  4'!H60</f>
        <v>6825</v>
      </c>
      <c r="H47" s="20">
        <f>'2020-2022 год Приложение  4'!I60</f>
        <v>6825</v>
      </c>
      <c r="I47" s="26"/>
      <c r="J47" s="26"/>
      <c r="K47" s="26"/>
    </row>
    <row r="48" spans="1:10" ht="15.75">
      <c r="A48" s="45" t="s">
        <v>9</v>
      </c>
      <c r="B48" s="27" t="s">
        <v>343</v>
      </c>
      <c r="C48" s="42" t="s">
        <v>12</v>
      </c>
      <c r="D48" s="20">
        <f>'2020-2022 год Приложение  4'!E61</f>
        <v>6825</v>
      </c>
      <c r="E48" s="20">
        <f>'2020-2022 год Приложение  4'!F61</f>
        <v>0</v>
      </c>
      <c r="F48" s="20">
        <f>'2020-2022 год Приложение  4'!G61</f>
        <v>6825</v>
      </c>
      <c r="G48" s="20">
        <f>'2020-2022 год Приложение  4'!H61</f>
        <v>6825</v>
      </c>
      <c r="H48" s="20">
        <f>'2020-2022 год Приложение  4'!I61</f>
        <v>6825</v>
      </c>
      <c r="I48" s="26"/>
      <c r="J48" s="26"/>
    </row>
    <row r="49" spans="1:10" ht="63">
      <c r="A49" s="10" t="s">
        <v>447</v>
      </c>
      <c r="B49" s="11" t="s">
        <v>175</v>
      </c>
      <c r="C49" s="11" t="s">
        <v>0</v>
      </c>
      <c r="D49" s="12">
        <f>D62+D74+D77+D68+D60+D64+D50+D58+D71+D54+D56+D66+D52</f>
        <v>56696.50000000001</v>
      </c>
      <c r="E49" s="12">
        <f>E62+E74+E77+E68+E60+E64+E50+E58+E71+E54+E56+E66+E52</f>
        <v>72206.3</v>
      </c>
      <c r="F49" s="12">
        <f>F62+F74+F77+F68+F60+F64+F50+F58+F71+F54+F56+F66+F52</f>
        <v>128902.80000000002</v>
      </c>
      <c r="G49" s="12">
        <f>G62+G74+G77+G68+G60+G64+G50+G58+G71+G54+G56+G66+G52</f>
        <v>38430</v>
      </c>
      <c r="H49" s="12">
        <f>H62+H74+H77+H68+H60+H64+H50+H58+H71+H54+H56+H66+H52</f>
        <v>34053.7</v>
      </c>
      <c r="I49" s="26"/>
      <c r="J49" s="26"/>
    </row>
    <row r="50" spans="1:10" ht="31.5">
      <c r="A50" s="100" t="s">
        <v>276</v>
      </c>
      <c r="B50" s="35" t="s">
        <v>399</v>
      </c>
      <c r="C50" s="35"/>
      <c r="D50" s="36">
        <f>D51</f>
        <v>67.8</v>
      </c>
      <c r="E50" s="36">
        <f>E51</f>
        <v>0</v>
      </c>
      <c r="F50" s="36">
        <f>F51</f>
        <v>67.8</v>
      </c>
      <c r="G50" s="36">
        <f>G51</f>
        <v>0</v>
      </c>
      <c r="H50" s="36">
        <f>H51</f>
        <v>0</v>
      </c>
      <c r="I50" s="26"/>
      <c r="J50" s="26"/>
    </row>
    <row r="51" spans="1:10" ht="47.25">
      <c r="A51" s="45" t="s">
        <v>453</v>
      </c>
      <c r="B51" s="35" t="s">
        <v>399</v>
      </c>
      <c r="C51" s="35" t="s">
        <v>8</v>
      </c>
      <c r="D51" s="36">
        <f>'2020-2022 год Приложение  4'!E330</f>
        <v>67.8</v>
      </c>
      <c r="E51" s="36">
        <f>'2020-2022 год Приложение  4'!F330</f>
        <v>0</v>
      </c>
      <c r="F51" s="36">
        <f>'2020-2022 год Приложение  4'!G330</f>
        <v>67.8</v>
      </c>
      <c r="G51" s="36">
        <f>'2020-2022 год Приложение  4'!H330</f>
        <v>0</v>
      </c>
      <c r="H51" s="36">
        <f>'2020-2022 год Приложение  4'!I330</f>
        <v>0</v>
      </c>
      <c r="I51" s="26"/>
      <c r="J51" s="26"/>
    </row>
    <row r="52" spans="1:10" ht="78.75">
      <c r="A52" s="45" t="s">
        <v>466</v>
      </c>
      <c r="B52" s="35" t="s">
        <v>465</v>
      </c>
      <c r="C52" s="35"/>
      <c r="D52" s="36">
        <f>D53</f>
        <v>0</v>
      </c>
      <c r="E52" s="36">
        <f>E53</f>
        <v>10360.8</v>
      </c>
      <c r="F52" s="36">
        <f>F53</f>
        <v>10360.8</v>
      </c>
      <c r="G52" s="36">
        <f>G53</f>
        <v>0</v>
      </c>
      <c r="H52" s="36">
        <f>H53</f>
        <v>0</v>
      </c>
      <c r="I52" s="26"/>
      <c r="J52" s="26"/>
    </row>
    <row r="53" spans="1:10" ht="15.75">
      <c r="A53" s="45" t="s">
        <v>9</v>
      </c>
      <c r="B53" s="35" t="s">
        <v>465</v>
      </c>
      <c r="C53" s="35" t="s">
        <v>12</v>
      </c>
      <c r="D53" s="36">
        <f>'2020-2022 год Приложение  4'!E332</f>
        <v>0</v>
      </c>
      <c r="E53" s="36">
        <f>'2020-2022 год Приложение  4'!F332</f>
        <v>10360.8</v>
      </c>
      <c r="F53" s="36">
        <f>E53+D53</f>
        <v>10360.8</v>
      </c>
      <c r="G53" s="36">
        <f>'2020-2022 год Приложение  4'!H332</f>
        <v>0</v>
      </c>
      <c r="H53" s="36">
        <f>'2020-2022 год Приложение  4'!I332</f>
        <v>0</v>
      </c>
      <c r="I53" s="26"/>
      <c r="J53" s="26"/>
    </row>
    <row r="54" spans="1:10" ht="78.75">
      <c r="A54" s="178" t="s">
        <v>427</v>
      </c>
      <c r="B54" s="42" t="s">
        <v>428</v>
      </c>
      <c r="C54" s="35"/>
      <c r="D54" s="36">
        <f>D55</f>
        <v>1241.8</v>
      </c>
      <c r="E54" s="36">
        <f>E55</f>
        <v>0</v>
      </c>
      <c r="F54" s="36">
        <f>F55</f>
        <v>1241.8</v>
      </c>
      <c r="G54" s="36">
        <f>'2020-2022 год Приложение  4'!H333</f>
        <v>0</v>
      </c>
      <c r="H54" s="36">
        <f>'2020-2022 год Приложение  4'!I333</f>
        <v>0</v>
      </c>
      <c r="I54" s="26"/>
      <c r="J54" s="26"/>
    </row>
    <row r="55" spans="1:10" ht="15.75">
      <c r="A55" s="22" t="s">
        <v>9</v>
      </c>
      <c r="B55" s="42" t="s">
        <v>428</v>
      </c>
      <c r="C55" s="42" t="s">
        <v>12</v>
      </c>
      <c r="D55" s="36">
        <f>'2020-2022 год Приложение  4'!E334</f>
        <v>1241.8</v>
      </c>
      <c r="E55" s="36">
        <f>'2020-2022 год Приложение  4'!F334</f>
        <v>0</v>
      </c>
      <c r="F55" s="36">
        <f>D55+E55</f>
        <v>1241.8</v>
      </c>
      <c r="G55" s="36">
        <f>'2020-2022 год Приложение  4'!H334</f>
        <v>0</v>
      </c>
      <c r="H55" s="36">
        <f>'2020-2022 год Приложение  4'!I334</f>
        <v>0</v>
      </c>
      <c r="I55" s="26"/>
      <c r="J55" s="26"/>
    </row>
    <row r="56" spans="1:10" ht="78.75">
      <c r="A56" s="178" t="s">
        <v>429</v>
      </c>
      <c r="B56" s="42" t="s">
        <v>460</v>
      </c>
      <c r="C56" s="42"/>
      <c r="D56" s="36">
        <f>D57</f>
        <v>542</v>
      </c>
      <c r="E56" s="36">
        <f>'2020-2022 год Приложение  4'!F335</f>
        <v>0</v>
      </c>
      <c r="F56" s="36">
        <f>F57</f>
        <v>542</v>
      </c>
      <c r="G56" s="36">
        <f>'2020-2022 год Приложение  4'!H335</f>
        <v>0</v>
      </c>
      <c r="H56" s="36">
        <f>'2020-2022 год Приложение  4'!I335</f>
        <v>0</v>
      </c>
      <c r="I56" s="26"/>
      <c r="J56" s="26"/>
    </row>
    <row r="57" spans="1:10" ht="15.75">
      <c r="A57" s="178" t="s">
        <v>9</v>
      </c>
      <c r="B57" s="42" t="s">
        <v>460</v>
      </c>
      <c r="C57" s="42" t="s">
        <v>12</v>
      </c>
      <c r="D57" s="136">
        <f>'2020-2022 год Приложение  4'!E336</f>
        <v>542</v>
      </c>
      <c r="E57" s="136">
        <f>'2020-2022 год Приложение  4'!F336</f>
        <v>0</v>
      </c>
      <c r="F57" s="136">
        <f>D57+E57</f>
        <v>542</v>
      </c>
      <c r="G57" s="136">
        <f>'2020-2022 год Приложение  4'!H336</f>
        <v>0</v>
      </c>
      <c r="H57" s="136">
        <f>'2020-2022 год Приложение  4'!I336</f>
        <v>0</v>
      </c>
      <c r="I57" s="26"/>
      <c r="J57" s="26"/>
    </row>
    <row r="58" spans="1:10" ht="78.75">
      <c r="A58" s="178" t="s">
        <v>414</v>
      </c>
      <c r="B58" s="42" t="s">
        <v>426</v>
      </c>
      <c r="C58" s="42"/>
      <c r="D58" s="20">
        <f>D59</f>
        <v>521.6</v>
      </c>
      <c r="E58" s="20">
        <f>E59</f>
        <v>0</v>
      </c>
      <c r="F58" s="20">
        <f>F59</f>
        <v>521.6</v>
      </c>
      <c r="G58" s="20">
        <f>G59</f>
        <v>0</v>
      </c>
      <c r="H58" s="20">
        <f>H59</f>
        <v>0</v>
      </c>
      <c r="I58" s="26"/>
      <c r="J58" s="26"/>
    </row>
    <row r="59" spans="1:10" ht="15.75">
      <c r="A59" s="54" t="s">
        <v>9</v>
      </c>
      <c r="B59" s="42" t="s">
        <v>426</v>
      </c>
      <c r="C59" s="42" t="s">
        <v>12</v>
      </c>
      <c r="D59" s="20">
        <f>'2020-2022 год Приложение  4'!E338</f>
        <v>521.6</v>
      </c>
      <c r="E59" s="20">
        <f>'2020-2022 год Приложение  4'!F338</f>
        <v>0</v>
      </c>
      <c r="F59" s="20">
        <f>'2020-2022 год Приложение  4'!G338</f>
        <v>521.6</v>
      </c>
      <c r="G59" s="20">
        <f>'2020-2022 год Приложение  4'!H338</f>
        <v>0</v>
      </c>
      <c r="H59" s="20">
        <f>'2020-2022 год Приложение  4'!I338</f>
        <v>0</v>
      </c>
      <c r="I59" s="26"/>
      <c r="J59" s="26"/>
    </row>
    <row r="60" spans="1:10" ht="42" customHeight="1">
      <c r="A60" s="22" t="s">
        <v>377</v>
      </c>
      <c r="B60" s="27" t="s">
        <v>348</v>
      </c>
      <c r="C60" s="42"/>
      <c r="D60" s="20">
        <f>D61</f>
        <v>100</v>
      </c>
      <c r="E60" s="20">
        <f>E61</f>
        <v>0</v>
      </c>
      <c r="F60" s="20">
        <f>F61</f>
        <v>100</v>
      </c>
      <c r="G60" s="20">
        <f>G61</f>
        <v>100</v>
      </c>
      <c r="H60" s="20">
        <f>H61</f>
        <v>100</v>
      </c>
      <c r="I60" s="26"/>
      <c r="J60" s="26"/>
    </row>
    <row r="61" spans="1:10" ht="47.25">
      <c r="A61" s="45" t="s">
        <v>453</v>
      </c>
      <c r="B61" s="27" t="s">
        <v>348</v>
      </c>
      <c r="C61" s="42" t="s">
        <v>8</v>
      </c>
      <c r="D61" s="20">
        <f>'2020-2022 год Приложение  4'!E64</f>
        <v>100</v>
      </c>
      <c r="E61" s="20">
        <f>'2020-2022 год Приложение  4'!F64</f>
        <v>0</v>
      </c>
      <c r="F61" s="20">
        <f>'2020-2022 год Приложение  4'!G64</f>
        <v>100</v>
      </c>
      <c r="G61" s="20">
        <f>'2020-2022 год Приложение  4'!H64</f>
        <v>100</v>
      </c>
      <c r="H61" s="20">
        <f>'2020-2022 год Приложение  4'!I64</f>
        <v>100</v>
      </c>
      <c r="I61" s="26"/>
      <c r="J61" s="26"/>
    </row>
    <row r="62" spans="1:10" ht="31.5">
      <c r="A62" s="22" t="s">
        <v>246</v>
      </c>
      <c r="B62" s="27" t="s">
        <v>344</v>
      </c>
      <c r="C62" s="42"/>
      <c r="D62" s="20">
        <f>D63</f>
        <v>157.1</v>
      </c>
      <c r="E62" s="20">
        <f>E63</f>
        <v>0</v>
      </c>
      <c r="F62" s="20">
        <f>F63</f>
        <v>157.1</v>
      </c>
      <c r="G62" s="20">
        <f>G63</f>
        <v>1151.3999999999996</v>
      </c>
      <c r="H62" s="20">
        <f>H63</f>
        <v>0</v>
      </c>
      <c r="I62" s="26"/>
      <c r="J62" s="26"/>
    </row>
    <row r="63" spans="1:10" ht="47.25">
      <c r="A63" s="45" t="s">
        <v>453</v>
      </c>
      <c r="B63" s="27" t="s">
        <v>344</v>
      </c>
      <c r="C63" s="42" t="s">
        <v>8</v>
      </c>
      <c r="D63" s="20">
        <f>'2020-2022 год Приложение  4'!E66</f>
        <v>157.1</v>
      </c>
      <c r="E63" s="20">
        <f>'2020-2022 год Приложение  4'!F66</f>
        <v>0</v>
      </c>
      <c r="F63" s="20">
        <f>'2020-2022 год Приложение  4'!G66</f>
        <v>157.1</v>
      </c>
      <c r="G63" s="20">
        <f>'2020-2022 год Приложение  4'!H66</f>
        <v>1151.3999999999996</v>
      </c>
      <c r="H63" s="20">
        <f>'2020-2022 год Приложение  4'!I66</f>
        <v>0</v>
      </c>
      <c r="I63" s="26"/>
      <c r="J63" s="26"/>
    </row>
    <row r="64" spans="1:10" ht="31.5">
      <c r="A64" s="22" t="s">
        <v>345</v>
      </c>
      <c r="B64" s="27" t="s">
        <v>346</v>
      </c>
      <c r="C64" s="42"/>
      <c r="D64" s="20">
        <f>D65</f>
        <v>92.1</v>
      </c>
      <c r="E64" s="20">
        <f>E65</f>
        <v>0</v>
      </c>
      <c r="F64" s="20">
        <f>F65</f>
        <v>92.1</v>
      </c>
      <c r="G64" s="20">
        <f>G65</f>
        <v>100</v>
      </c>
      <c r="H64" s="20">
        <f>H65</f>
        <v>100</v>
      </c>
      <c r="I64" s="26"/>
      <c r="J64" s="26"/>
    </row>
    <row r="65" spans="1:10" ht="47.25">
      <c r="A65" s="45" t="s">
        <v>453</v>
      </c>
      <c r="B65" s="27" t="s">
        <v>346</v>
      </c>
      <c r="C65" s="42" t="s">
        <v>8</v>
      </c>
      <c r="D65" s="20">
        <f>'2020-2022 год Приложение  4'!E68</f>
        <v>92.1</v>
      </c>
      <c r="E65" s="20">
        <f>'2020-2022 год Приложение  4'!F68</f>
        <v>0</v>
      </c>
      <c r="F65" s="20">
        <f>'2020-2022 год Приложение  4'!G68</f>
        <v>92.1</v>
      </c>
      <c r="G65" s="20">
        <f>'2020-2022 год Приложение  4'!H68</f>
        <v>100</v>
      </c>
      <c r="H65" s="20">
        <f>'2020-2022 год Приложение  4'!I68</f>
        <v>100</v>
      </c>
      <c r="I65" s="26"/>
      <c r="J65" s="26"/>
    </row>
    <row r="66" spans="1:10" ht="31.5">
      <c r="A66" s="45" t="s">
        <v>462</v>
      </c>
      <c r="B66" s="181" t="s">
        <v>461</v>
      </c>
      <c r="C66" s="182"/>
      <c r="D66" s="20">
        <f>D67</f>
        <v>0</v>
      </c>
      <c r="E66" s="20">
        <f>E67</f>
        <v>56</v>
      </c>
      <c r="F66" s="20">
        <f>F67</f>
        <v>56</v>
      </c>
      <c r="G66" s="20">
        <f>G67</f>
        <v>0</v>
      </c>
      <c r="H66" s="20">
        <f>H67</f>
        <v>0</v>
      </c>
      <c r="I66" s="26"/>
      <c r="J66" s="26"/>
    </row>
    <row r="67" spans="1:10" ht="47.25">
      <c r="A67" s="45" t="s">
        <v>453</v>
      </c>
      <c r="B67" s="181" t="s">
        <v>461</v>
      </c>
      <c r="C67" s="182" t="s">
        <v>8</v>
      </c>
      <c r="D67" s="20">
        <f>'2020-2022 год Приложение  4'!E340</f>
        <v>0</v>
      </c>
      <c r="E67" s="20">
        <f>'2020-2022 год Приложение  4'!F340</f>
        <v>56</v>
      </c>
      <c r="F67" s="20">
        <f>E67+D67</f>
        <v>56</v>
      </c>
      <c r="G67" s="20">
        <f>'2020-2022 год Приложение  4'!H340</f>
        <v>0</v>
      </c>
      <c r="H67" s="20">
        <f>'2020-2022 год Приложение  4'!I340</f>
        <v>0</v>
      </c>
      <c r="I67" s="26"/>
      <c r="J67" s="26"/>
    </row>
    <row r="68" spans="1:10" ht="63">
      <c r="A68" s="51" t="s">
        <v>335</v>
      </c>
      <c r="B68" s="21" t="s">
        <v>374</v>
      </c>
      <c r="C68" s="21"/>
      <c r="D68" s="20">
        <f>D69+D70</f>
        <v>31579</v>
      </c>
      <c r="E68" s="20">
        <f>E69+E70</f>
        <v>61789.5</v>
      </c>
      <c r="F68" s="20">
        <f>F69+F70</f>
        <v>93368.5</v>
      </c>
      <c r="G68" s="20">
        <f>G69+G70</f>
        <v>31579</v>
      </c>
      <c r="H68" s="20">
        <f>H69+H70</f>
        <v>31579</v>
      </c>
      <c r="I68" s="26"/>
      <c r="J68" s="26"/>
    </row>
    <row r="69" spans="1:10" ht="31.5">
      <c r="A69" s="100" t="s">
        <v>29</v>
      </c>
      <c r="B69" s="21" t="s">
        <v>374</v>
      </c>
      <c r="C69" s="21" t="s">
        <v>24</v>
      </c>
      <c r="D69" s="20">
        <f>'2020-2022 год Приложение  4'!E70</f>
        <v>30033.4</v>
      </c>
      <c r="E69" s="20">
        <f>'2020-2022 год Приложение  4'!F70</f>
        <v>48110.7</v>
      </c>
      <c r="F69" s="20">
        <f>E69+D69</f>
        <v>78144.1</v>
      </c>
      <c r="G69" s="20">
        <f>'2020-2022 год Приложение  4'!H70+'2020-2022 год Приложение  4'!H342</f>
        <v>31579</v>
      </c>
      <c r="H69" s="20">
        <f>'2020-2022 год Приложение  4'!I70+'2020-2022 год Приложение  4'!I342</f>
        <v>31579</v>
      </c>
      <c r="I69" s="26"/>
      <c r="J69" s="26"/>
    </row>
    <row r="70" spans="1:10" ht="15.75">
      <c r="A70" s="54" t="s">
        <v>9</v>
      </c>
      <c r="B70" s="21" t="s">
        <v>374</v>
      </c>
      <c r="C70" s="21" t="s">
        <v>12</v>
      </c>
      <c r="D70" s="20">
        <f>'2020-2022 год Приложение  4'!E342</f>
        <v>1545.6</v>
      </c>
      <c r="E70" s="20">
        <f>'2020-2022 год Приложение  4'!F342</f>
        <v>13678.8</v>
      </c>
      <c r="F70" s="20">
        <f>E70+D70</f>
        <v>15224.4</v>
      </c>
      <c r="G70" s="20">
        <f>'2020-2022 год Приложение  4'!H342</f>
        <v>0</v>
      </c>
      <c r="H70" s="20">
        <f>'2020-2022 год Приложение  4'!I342</f>
        <v>0</v>
      </c>
      <c r="I70" s="26"/>
      <c r="J70" s="26"/>
    </row>
    <row r="71" spans="1:10" ht="31.5">
      <c r="A71" s="100" t="s">
        <v>276</v>
      </c>
      <c r="B71" s="35" t="s">
        <v>430</v>
      </c>
      <c r="C71" s="21"/>
      <c r="D71" s="20">
        <f>D73+D72</f>
        <v>21275.4</v>
      </c>
      <c r="E71" s="20">
        <f>E73+E72</f>
        <v>0</v>
      </c>
      <c r="F71" s="20">
        <f>F73+F72</f>
        <v>21275.4</v>
      </c>
      <c r="G71" s="20">
        <f>G73+G72</f>
        <v>0</v>
      </c>
      <c r="H71" s="20">
        <f>H73+H72</f>
        <v>0</v>
      </c>
      <c r="I71" s="26"/>
      <c r="J71" s="26"/>
    </row>
    <row r="72" spans="1:10" ht="31.5">
      <c r="A72" s="100" t="s">
        <v>29</v>
      </c>
      <c r="B72" s="35" t="s">
        <v>430</v>
      </c>
      <c r="C72" s="35" t="s">
        <v>24</v>
      </c>
      <c r="D72" s="20">
        <f>'2020-2022 год Приложение  4'!E72</f>
        <v>13597.4</v>
      </c>
      <c r="E72" s="20">
        <f>'2020-2022 год Приложение  4'!F72</f>
        <v>0</v>
      </c>
      <c r="F72" s="20">
        <f>D72+E72</f>
        <v>13597.4</v>
      </c>
      <c r="G72" s="20">
        <f>'2020-2022 год Приложение  4'!H72</f>
        <v>0</v>
      </c>
      <c r="H72" s="20">
        <f>'2020-2022 год Приложение  4'!I72</f>
        <v>0</v>
      </c>
      <c r="I72" s="26"/>
      <c r="J72" s="26"/>
    </row>
    <row r="73" spans="1:10" ht="15.75">
      <c r="A73" s="100" t="s">
        <v>9</v>
      </c>
      <c r="B73" s="35" t="s">
        <v>430</v>
      </c>
      <c r="C73" s="35" t="s">
        <v>12</v>
      </c>
      <c r="D73" s="20">
        <f>'2020-2022 год Приложение  4'!E344</f>
        <v>7678</v>
      </c>
      <c r="E73" s="20">
        <f>'2020-2022 год Приложение  4'!F344</f>
        <v>0</v>
      </c>
      <c r="F73" s="20">
        <f>D73+E73</f>
        <v>7678</v>
      </c>
      <c r="G73" s="20">
        <f>'2020-2022 год Приложение  4'!H344</f>
        <v>0</v>
      </c>
      <c r="H73" s="20">
        <f>'2020-2022 год Приложение  4'!I344</f>
        <v>0</v>
      </c>
      <c r="I73" s="26"/>
      <c r="J73" s="26"/>
    </row>
    <row r="74" spans="1:10" ht="31.5">
      <c r="A74" s="100" t="s">
        <v>276</v>
      </c>
      <c r="B74" s="35" t="s">
        <v>282</v>
      </c>
      <c r="C74" s="35"/>
      <c r="D74" s="20">
        <f>D75+D76</f>
        <v>895.8</v>
      </c>
      <c r="E74" s="20">
        <f>E75+E76</f>
        <v>0</v>
      </c>
      <c r="F74" s="20">
        <f>F75+F76</f>
        <v>895.8</v>
      </c>
      <c r="G74" s="20">
        <f>G75+G76</f>
        <v>3988.8</v>
      </c>
      <c r="H74" s="20">
        <f>H75+H76</f>
        <v>2274.7</v>
      </c>
      <c r="I74" s="26"/>
      <c r="J74" s="26"/>
    </row>
    <row r="75" spans="1:10" ht="31.5">
      <c r="A75" s="100" t="s">
        <v>29</v>
      </c>
      <c r="B75" s="35" t="s">
        <v>282</v>
      </c>
      <c r="C75" s="35" t="s">
        <v>24</v>
      </c>
      <c r="D75" s="20">
        <f>'2020-2022 год Приложение  4'!E74</f>
        <v>572.5</v>
      </c>
      <c r="E75" s="20">
        <f>'2020-2022 год Приложение  4'!F74</f>
        <v>0</v>
      </c>
      <c r="F75" s="20">
        <f>'2020-2022 год Приложение  4'!G74</f>
        <v>572.5</v>
      </c>
      <c r="G75" s="20">
        <f>'2020-2022 год Приложение  4'!H74</f>
        <v>1392.1000000000001</v>
      </c>
      <c r="H75" s="20">
        <f>'2020-2022 год Приложение  4'!I74</f>
        <v>613.5</v>
      </c>
      <c r="I75" s="26"/>
      <c r="J75" s="26"/>
    </row>
    <row r="76" spans="1:10" ht="15.75">
      <c r="A76" s="100" t="s">
        <v>9</v>
      </c>
      <c r="B76" s="35" t="s">
        <v>282</v>
      </c>
      <c r="C76" s="35" t="s">
        <v>12</v>
      </c>
      <c r="D76" s="20">
        <f>'2020-2022 год Приложение  4'!E346</f>
        <v>323.3</v>
      </c>
      <c r="E76" s="20">
        <f>'2020-2022 год Приложение  4'!F346</f>
        <v>0</v>
      </c>
      <c r="F76" s="20">
        <f>'2020-2022 год Приложение  4'!G346</f>
        <v>323.3</v>
      </c>
      <c r="G76" s="20">
        <f>'2020-2022 год Приложение  4'!H346</f>
        <v>2596.7000000000003</v>
      </c>
      <c r="H76" s="20">
        <f>'2020-2022 год Приложение  4'!I346</f>
        <v>1661.2</v>
      </c>
      <c r="I76" s="26"/>
      <c r="J76" s="26"/>
    </row>
    <row r="77" spans="1:10" ht="29.25" customHeight="1">
      <c r="A77" s="100" t="s">
        <v>276</v>
      </c>
      <c r="B77" s="35" t="s">
        <v>283</v>
      </c>
      <c r="C77" s="35"/>
      <c r="D77" s="20">
        <f>D78+D79</f>
        <v>223.89999999999998</v>
      </c>
      <c r="E77" s="20">
        <f>E78+E79</f>
        <v>0</v>
      </c>
      <c r="F77" s="20">
        <f>F78+F79</f>
        <v>223.89999999999998</v>
      </c>
      <c r="G77" s="20">
        <f>G78+G79</f>
        <v>1510.8</v>
      </c>
      <c r="H77" s="20">
        <f>H78+H79</f>
        <v>0</v>
      </c>
      <c r="I77" s="26"/>
      <c r="J77" s="26"/>
    </row>
    <row r="78" spans="1:10" ht="31.5">
      <c r="A78" s="100" t="s">
        <v>29</v>
      </c>
      <c r="B78" s="35" t="s">
        <v>283</v>
      </c>
      <c r="C78" s="35" t="s">
        <v>24</v>
      </c>
      <c r="D78" s="20">
        <f>'2020-2022 год Приложение  4'!E76</f>
        <v>143.1</v>
      </c>
      <c r="E78" s="20">
        <f>'2020-2022 год Приложение  4'!F76</f>
        <v>0</v>
      </c>
      <c r="F78" s="20">
        <f>'2020-2022 год Приложение  4'!G76</f>
        <v>143.1</v>
      </c>
      <c r="G78" s="20">
        <f>'2020-2022 год Приложение  4'!H76</f>
        <v>498.7</v>
      </c>
      <c r="H78" s="20">
        <f>'2020-2022 год Приложение  4'!I348+'2020-2022 год Приложение  4'!I76</f>
        <v>0</v>
      </c>
      <c r="I78" s="26"/>
      <c r="J78" s="26"/>
    </row>
    <row r="79" spans="1:10" ht="15.75">
      <c r="A79" s="100" t="s">
        <v>9</v>
      </c>
      <c r="B79" s="35" t="s">
        <v>283</v>
      </c>
      <c r="C79" s="35" t="s">
        <v>12</v>
      </c>
      <c r="D79" s="20">
        <f>'2020-2022 год Приложение  4'!E348</f>
        <v>80.8</v>
      </c>
      <c r="E79" s="20">
        <f>'2020-2022 год Приложение  4'!F348</f>
        <v>0</v>
      </c>
      <c r="F79" s="20">
        <f>'2020-2022 год Приложение  4'!G348</f>
        <v>80.8</v>
      </c>
      <c r="G79" s="20">
        <f>'2020-2022 год Приложение  4'!H348</f>
        <v>1012.1</v>
      </c>
      <c r="H79" s="20">
        <f>'2020-2022 год Приложение  4'!I348</f>
        <v>0</v>
      </c>
      <c r="I79" s="26"/>
      <c r="J79" s="26"/>
    </row>
    <row r="80" spans="1:11" ht="15.75">
      <c r="A80" s="10" t="s">
        <v>57</v>
      </c>
      <c r="B80" s="11" t="s">
        <v>176</v>
      </c>
      <c r="C80" s="11" t="s">
        <v>0</v>
      </c>
      <c r="D80" s="12">
        <f>D81+D83+D87+D95+D85+D89+D91+D93</f>
        <v>36964.1</v>
      </c>
      <c r="E80" s="12">
        <f>E81+E83+E87+E95+E85+E89+E91+E93</f>
        <v>0</v>
      </c>
      <c r="F80" s="12">
        <f>F81+F83+F87+F95+F85+F89+F91+F93</f>
        <v>36964.1</v>
      </c>
      <c r="G80" s="12">
        <f>G81+G83+G87+G95+G85+G89+G91+G93</f>
        <v>37274</v>
      </c>
      <c r="H80" s="12">
        <f>H81+H83+H87+H95+H85+H89+H91+H93</f>
        <v>37702.1</v>
      </c>
      <c r="I80" s="26"/>
      <c r="J80" s="26"/>
      <c r="K80" s="26"/>
    </row>
    <row r="81" spans="1:12" ht="31.5">
      <c r="A81" s="14" t="s">
        <v>37</v>
      </c>
      <c r="B81" s="15" t="s">
        <v>349</v>
      </c>
      <c r="C81" s="58"/>
      <c r="D81" s="43">
        <f>D82</f>
        <v>5087.1</v>
      </c>
      <c r="E81" s="43">
        <f>E82</f>
        <v>0</v>
      </c>
      <c r="F81" s="43">
        <f>F82</f>
        <v>5087.1</v>
      </c>
      <c r="G81" s="43">
        <f>G82</f>
        <v>5358</v>
      </c>
      <c r="H81" s="43">
        <f>H82</f>
        <v>5630</v>
      </c>
      <c r="I81" s="26"/>
      <c r="J81" s="26"/>
      <c r="K81" s="26"/>
      <c r="L81" s="26"/>
    </row>
    <row r="82" spans="1:10" ht="47.25">
      <c r="A82" s="45" t="s">
        <v>453</v>
      </c>
      <c r="B82" s="15" t="s">
        <v>349</v>
      </c>
      <c r="C82" s="42" t="s">
        <v>8</v>
      </c>
      <c r="D82" s="20">
        <f>'2020-2022 год Приложение  4'!E79</f>
        <v>5087.1</v>
      </c>
      <c r="E82" s="20">
        <f>'2020-2022 год Приложение  4'!F79</f>
        <v>0</v>
      </c>
      <c r="F82" s="20">
        <f>'2020-2022 год Приложение  4'!G79</f>
        <v>5087.1</v>
      </c>
      <c r="G82" s="20">
        <f>'2020-2022 год Приложение  4'!H79</f>
        <v>5358</v>
      </c>
      <c r="H82" s="20">
        <f>'2020-2022 год Приложение  4'!I79</f>
        <v>5630</v>
      </c>
      <c r="I82" s="26"/>
      <c r="J82" s="26"/>
    </row>
    <row r="83" spans="1:10" ht="31.5">
      <c r="A83" s="14" t="s">
        <v>37</v>
      </c>
      <c r="B83" s="15" t="s">
        <v>350</v>
      </c>
      <c r="C83" s="15"/>
      <c r="D83" s="43">
        <f>D84</f>
        <v>1229.4</v>
      </c>
      <c r="E83" s="43">
        <f>E84</f>
        <v>0</v>
      </c>
      <c r="F83" s="43">
        <f>F84</f>
        <v>1229.4</v>
      </c>
      <c r="G83" s="43">
        <f>G84</f>
        <v>1229.4</v>
      </c>
      <c r="H83" s="43">
        <f>H84</f>
        <v>1229.4</v>
      </c>
      <c r="I83" s="26"/>
      <c r="J83" s="26"/>
    </row>
    <row r="84" spans="1:10" ht="47.25">
      <c r="A84" s="45" t="s">
        <v>453</v>
      </c>
      <c r="B84" s="15" t="s">
        <v>350</v>
      </c>
      <c r="C84" s="42" t="s">
        <v>8</v>
      </c>
      <c r="D84" s="20">
        <f>'2020-2022 год Приложение  4'!E81</f>
        <v>1229.4</v>
      </c>
      <c r="E84" s="20">
        <f>'2020-2022 год Приложение  4'!F81</f>
        <v>0</v>
      </c>
      <c r="F84" s="20">
        <f>'2020-2022 год Приложение  4'!G81</f>
        <v>1229.4</v>
      </c>
      <c r="G84" s="20">
        <f>'2020-2022 год Приложение  4'!H81</f>
        <v>1229.4</v>
      </c>
      <c r="H84" s="20">
        <f>'2020-2022 год Приложение  4'!I81</f>
        <v>1229.4</v>
      </c>
      <c r="I84" s="26"/>
      <c r="J84" s="26"/>
    </row>
    <row r="85" spans="1:10" ht="31.5">
      <c r="A85" s="22" t="s">
        <v>38</v>
      </c>
      <c r="B85" s="21" t="s">
        <v>177</v>
      </c>
      <c r="C85" s="21"/>
      <c r="D85" s="20">
        <f>D86</f>
        <v>8855.3</v>
      </c>
      <c r="E85" s="20">
        <f>E86</f>
        <v>0</v>
      </c>
      <c r="F85" s="20">
        <f>F86</f>
        <v>8855.3</v>
      </c>
      <c r="G85" s="20">
        <f>G86</f>
        <v>8600.8</v>
      </c>
      <c r="H85" s="20">
        <f>H86</f>
        <v>9298.8</v>
      </c>
      <c r="I85" s="26"/>
      <c r="J85" s="26"/>
    </row>
    <row r="86" spans="1:10" ht="47.25">
      <c r="A86" s="45" t="s">
        <v>453</v>
      </c>
      <c r="B86" s="21" t="s">
        <v>177</v>
      </c>
      <c r="C86" s="21" t="s">
        <v>8</v>
      </c>
      <c r="D86" s="20">
        <f>'2020-2022 год Приложение  4'!E83</f>
        <v>8855.3</v>
      </c>
      <c r="E86" s="20">
        <f>'2020-2022 год Приложение  4'!F83</f>
        <v>0</v>
      </c>
      <c r="F86" s="20">
        <f>'2020-2022 год Приложение  4'!G83</f>
        <v>8855.3</v>
      </c>
      <c r="G86" s="20">
        <f>'2020-2022 год Приложение  4'!H83</f>
        <v>8600.8</v>
      </c>
      <c r="H86" s="20">
        <f>'2020-2022 год Приложение  4'!I83</f>
        <v>9298.8</v>
      </c>
      <c r="I86" s="26"/>
      <c r="J86" s="26"/>
    </row>
    <row r="87" spans="1:10" ht="31.5">
      <c r="A87" s="40" t="s">
        <v>38</v>
      </c>
      <c r="B87" s="15" t="s">
        <v>351</v>
      </c>
      <c r="C87" s="42"/>
      <c r="D87" s="43">
        <f>D88</f>
        <v>12445</v>
      </c>
      <c r="E87" s="43">
        <f>E88</f>
        <v>0</v>
      </c>
      <c r="F87" s="43">
        <f>F88</f>
        <v>12445</v>
      </c>
      <c r="G87" s="43">
        <f>G88</f>
        <v>12445</v>
      </c>
      <c r="H87" s="43">
        <f>H88</f>
        <v>12445</v>
      </c>
      <c r="I87" s="26"/>
      <c r="J87" s="26"/>
    </row>
    <row r="88" spans="1:10" ht="47.25">
      <c r="A88" s="45" t="s">
        <v>453</v>
      </c>
      <c r="B88" s="15" t="s">
        <v>351</v>
      </c>
      <c r="C88" s="42" t="s">
        <v>8</v>
      </c>
      <c r="D88" s="20">
        <f>'2020-2022 год Приложение  4'!E85</f>
        <v>12445</v>
      </c>
      <c r="E88" s="20">
        <f>'2020-2022 год Приложение  4'!F85</f>
        <v>0</v>
      </c>
      <c r="F88" s="20">
        <f>'2020-2022 год Приложение  4'!G85</f>
        <v>12445</v>
      </c>
      <c r="G88" s="20">
        <f>'2020-2022 год Приложение  4'!H85</f>
        <v>12445</v>
      </c>
      <c r="H88" s="20">
        <f>'2020-2022 год Приложение  4'!I85</f>
        <v>12445</v>
      </c>
      <c r="I88" s="26"/>
      <c r="J88" s="26"/>
    </row>
    <row r="89" spans="1:10" ht="31.5">
      <c r="A89" s="45" t="s">
        <v>203</v>
      </c>
      <c r="B89" s="15" t="s">
        <v>178</v>
      </c>
      <c r="C89" s="42"/>
      <c r="D89" s="20">
        <f>'2020-2022 год Приложение  4'!E86</f>
        <v>6596.5</v>
      </c>
      <c r="E89" s="20">
        <f>'2020-2022 год Приложение  4'!F86</f>
        <v>0</v>
      </c>
      <c r="F89" s="20">
        <f>'2020-2022 год Приложение  4'!G86</f>
        <v>6596.5</v>
      </c>
      <c r="G89" s="20">
        <f>'2020-2022 год Приложение  4'!H86</f>
        <v>6628</v>
      </c>
      <c r="H89" s="20">
        <f>'2020-2022 год Приложение  4'!I86</f>
        <v>6054.1</v>
      </c>
      <c r="I89" s="26"/>
      <c r="J89" s="26"/>
    </row>
    <row r="90" spans="1:10" ht="47.25">
      <c r="A90" s="45" t="s">
        <v>453</v>
      </c>
      <c r="B90" s="15" t="s">
        <v>178</v>
      </c>
      <c r="C90" s="42" t="s">
        <v>8</v>
      </c>
      <c r="D90" s="20">
        <f>'2020-2022 год Приложение  4'!E87</f>
        <v>6596.5</v>
      </c>
      <c r="E90" s="20">
        <f>'2020-2022 год Приложение  4'!F87</f>
        <v>0</v>
      </c>
      <c r="F90" s="20">
        <f>'2020-2022 год Приложение  4'!G87</f>
        <v>6596.5</v>
      </c>
      <c r="G90" s="20">
        <f>'2020-2022 год Приложение  4'!H87</f>
        <v>6628</v>
      </c>
      <c r="H90" s="20">
        <f>'2020-2022 год Приложение  4'!I87</f>
        <v>6054.1</v>
      </c>
      <c r="I90" s="26"/>
      <c r="J90" s="26"/>
    </row>
    <row r="91" spans="1:10" ht="15.75">
      <c r="A91" s="45" t="s">
        <v>204</v>
      </c>
      <c r="B91" s="15" t="s">
        <v>205</v>
      </c>
      <c r="C91" s="42"/>
      <c r="D91" s="43">
        <f>D92</f>
        <v>473</v>
      </c>
      <c r="E91" s="43">
        <f>E92</f>
        <v>0</v>
      </c>
      <c r="F91" s="43">
        <f>F92</f>
        <v>473</v>
      </c>
      <c r="G91" s="43">
        <f>G92</f>
        <v>418</v>
      </c>
      <c r="H91" s="43">
        <f>H92</f>
        <v>450</v>
      </c>
      <c r="I91" s="26"/>
      <c r="J91" s="26"/>
    </row>
    <row r="92" spans="1:10" ht="47.25">
      <c r="A92" s="45" t="s">
        <v>453</v>
      </c>
      <c r="B92" s="15" t="s">
        <v>205</v>
      </c>
      <c r="C92" s="42" t="s">
        <v>8</v>
      </c>
      <c r="D92" s="43">
        <f>'2020-2022 год Приложение  4'!E89</f>
        <v>473</v>
      </c>
      <c r="E92" s="43">
        <f>'2020-2022 год Приложение  4'!F89</f>
        <v>0</v>
      </c>
      <c r="F92" s="43">
        <f>'2020-2022 год Приложение  4'!G89</f>
        <v>473</v>
      </c>
      <c r="G92" s="43">
        <f>'2020-2022 год Приложение  4'!H89</f>
        <v>418</v>
      </c>
      <c r="H92" s="43">
        <f>'2020-2022 год Приложение  4'!I89</f>
        <v>450</v>
      </c>
      <c r="I92" s="26"/>
      <c r="J92" s="26"/>
    </row>
    <row r="93" spans="1:10" ht="47.25">
      <c r="A93" s="40" t="s">
        <v>39</v>
      </c>
      <c r="B93" s="35" t="s">
        <v>442</v>
      </c>
      <c r="C93" s="42"/>
      <c r="D93" s="43">
        <f>D94</f>
        <v>195.9</v>
      </c>
      <c r="E93" s="43">
        <f>E94</f>
        <v>0</v>
      </c>
      <c r="F93" s="43">
        <f>F94</f>
        <v>195.9</v>
      </c>
      <c r="G93" s="43">
        <f>G94</f>
        <v>0</v>
      </c>
      <c r="H93" s="43">
        <f>H94</f>
        <v>0</v>
      </c>
      <c r="I93" s="26"/>
      <c r="J93" s="26"/>
    </row>
    <row r="94" spans="1:10" ht="15.75">
      <c r="A94" s="45" t="s">
        <v>9</v>
      </c>
      <c r="B94" s="35" t="s">
        <v>442</v>
      </c>
      <c r="C94" s="42" t="s">
        <v>12</v>
      </c>
      <c r="D94" s="43">
        <f>'2020-2022 год Приложение  4'!E91</f>
        <v>195.9</v>
      </c>
      <c r="E94" s="43">
        <f>'2020-2022 год Приложение  4'!F91</f>
        <v>0</v>
      </c>
      <c r="F94" s="43">
        <f>E94+D94</f>
        <v>195.9</v>
      </c>
      <c r="G94" s="43">
        <f>'2020-2022 год Приложение  4'!H91</f>
        <v>0</v>
      </c>
      <c r="H94" s="43">
        <f>'2020-2022 год Приложение  4'!I91</f>
        <v>0</v>
      </c>
      <c r="I94" s="26"/>
      <c r="J94" s="26"/>
    </row>
    <row r="95" spans="1:10" ht="47.25">
      <c r="A95" s="40" t="s">
        <v>39</v>
      </c>
      <c r="B95" s="35" t="s">
        <v>352</v>
      </c>
      <c r="C95" s="42"/>
      <c r="D95" s="43">
        <f>D96</f>
        <v>2081.9</v>
      </c>
      <c r="E95" s="43">
        <f>E96</f>
        <v>0</v>
      </c>
      <c r="F95" s="43">
        <f>F96</f>
        <v>2081.9</v>
      </c>
      <c r="G95" s="43">
        <f>G96</f>
        <v>2594.8</v>
      </c>
      <c r="H95" s="43">
        <f>H96</f>
        <v>2594.8</v>
      </c>
      <c r="I95" s="26"/>
      <c r="J95" s="26"/>
    </row>
    <row r="96" spans="1:10" ht="15.75">
      <c r="A96" s="45" t="s">
        <v>9</v>
      </c>
      <c r="B96" s="35" t="s">
        <v>352</v>
      </c>
      <c r="C96" s="42" t="s">
        <v>12</v>
      </c>
      <c r="D96" s="20">
        <f>'2020-2022 год Приложение  4'!E93</f>
        <v>2081.9</v>
      </c>
      <c r="E96" s="20">
        <f>'2020-2022 год Приложение  4'!F93</f>
        <v>0</v>
      </c>
      <c r="F96" s="20">
        <f>'2020-2022 год Приложение  4'!G93</f>
        <v>2081.9</v>
      </c>
      <c r="G96" s="20">
        <f>'2020-2022 год Приложение  4'!H93</f>
        <v>2594.8</v>
      </c>
      <c r="H96" s="20">
        <f>'2020-2022 год Приложение  4'!I93</f>
        <v>2594.8</v>
      </c>
      <c r="I96" s="26"/>
      <c r="J96" s="26"/>
    </row>
    <row r="97" spans="1:10" ht="31.5">
      <c r="A97" s="10" t="s">
        <v>299</v>
      </c>
      <c r="B97" s="11" t="s">
        <v>179</v>
      </c>
      <c r="C97" s="11" t="s">
        <v>0</v>
      </c>
      <c r="D97" s="12">
        <f>D100+D98</f>
        <v>1005.5</v>
      </c>
      <c r="E97" s="12">
        <f>E100+E98</f>
        <v>0</v>
      </c>
      <c r="F97" s="12">
        <f>F100+F98</f>
        <v>1005.5</v>
      </c>
      <c r="G97" s="12">
        <f>G100+G98</f>
        <v>212</v>
      </c>
      <c r="H97" s="12">
        <f>H100+H98</f>
        <v>212</v>
      </c>
      <c r="I97" s="26"/>
      <c r="J97" s="26"/>
    </row>
    <row r="98" spans="1:10" ht="31.5">
      <c r="A98" s="22" t="s">
        <v>58</v>
      </c>
      <c r="B98" s="27" t="s">
        <v>353</v>
      </c>
      <c r="C98" s="42"/>
      <c r="D98" s="43">
        <f>D99</f>
        <v>50</v>
      </c>
      <c r="E98" s="43">
        <f>E99</f>
        <v>0</v>
      </c>
      <c r="F98" s="43">
        <f>F99</f>
        <v>50</v>
      </c>
      <c r="G98" s="43">
        <f>G99</f>
        <v>50</v>
      </c>
      <c r="H98" s="43">
        <f>H99</f>
        <v>50</v>
      </c>
      <c r="I98" s="26"/>
      <c r="J98" s="26"/>
    </row>
    <row r="99" spans="1:10" ht="15.75">
      <c r="A99" s="40" t="s">
        <v>27</v>
      </c>
      <c r="B99" s="27" t="s">
        <v>353</v>
      </c>
      <c r="C99" s="21" t="s">
        <v>16</v>
      </c>
      <c r="D99" s="43">
        <f>'2020-2022 год Приложение  4'!E96</f>
        <v>50</v>
      </c>
      <c r="E99" s="43">
        <f>'2020-2022 год Приложение  4'!F96</f>
        <v>0</v>
      </c>
      <c r="F99" s="43">
        <f>'2020-2022 год Приложение  4'!G96</f>
        <v>50</v>
      </c>
      <c r="G99" s="43">
        <f>'2020-2022 год Приложение  4'!H96</f>
        <v>50</v>
      </c>
      <c r="H99" s="43">
        <f>'2020-2022 год Приложение  4'!I96</f>
        <v>50</v>
      </c>
      <c r="I99" s="26"/>
      <c r="J99" s="26"/>
    </row>
    <row r="100" spans="1:10" ht="31.5">
      <c r="A100" s="40" t="s">
        <v>46</v>
      </c>
      <c r="B100" s="27" t="s">
        <v>180</v>
      </c>
      <c r="C100" s="21"/>
      <c r="D100" s="20">
        <f>D101</f>
        <v>955.5</v>
      </c>
      <c r="E100" s="20">
        <f>E101</f>
        <v>0</v>
      </c>
      <c r="F100" s="20">
        <f>F101</f>
        <v>955.5</v>
      </c>
      <c r="G100" s="20">
        <f>G101</f>
        <v>162</v>
      </c>
      <c r="H100" s="20">
        <f>H101</f>
        <v>162</v>
      </c>
      <c r="I100" s="26"/>
      <c r="J100" s="26"/>
    </row>
    <row r="101" spans="1:10" ht="47.25">
      <c r="A101" s="45" t="s">
        <v>453</v>
      </c>
      <c r="B101" s="27" t="s">
        <v>180</v>
      </c>
      <c r="C101" s="42" t="s">
        <v>8</v>
      </c>
      <c r="D101" s="20">
        <f>'2020-2022 год Приложение  4'!E98+'2020-2022 год Приложение  4'!E452</f>
        <v>955.5</v>
      </c>
      <c r="E101" s="20">
        <f>'2020-2022 год Приложение  4'!F98+'2020-2022 год Приложение  4'!F452</f>
        <v>0</v>
      </c>
      <c r="F101" s="20">
        <f>'2020-2022 год Приложение  4'!G98+'2020-2022 год Приложение  4'!G452</f>
        <v>955.5</v>
      </c>
      <c r="G101" s="20">
        <f>'2020-2022 год Приложение  4'!H98+'2020-2022 год Приложение  4'!H452</f>
        <v>162</v>
      </c>
      <c r="H101" s="20">
        <f>'2020-2022 год Приложение  4'!I98+'2020-2022 год Приложение  4'!I452</f>
        <v>162</v>
      </c>
      <c r="I101" s="26"/>
      <c r="J101" s="26"/>
    </row>
    <row r="102" spans="1:10" ht="31.5">
      <c r="A102" s="10" t="s">
        <v>318</v>
      </c>
      <c r="B102" s="11" t="s">
        <v>215</v>
      </c>
      <c r="C102" s="11" t="s">
        <v>0</v>
      </c>
      <c r="D102" s="12">
        <f>D103+D105+D107</f>
        <v>6475.200000000001</v>
      </c>
      <c r="E102" s="12">
        <f>E103+E105+E107</f>
        <v>-2900</v>
      </c>
      <c r="F102" s="12">
        <f>F103+F105+F107</f>
        <v>3575.2000000000003</v>
      </c>
      <c r="G102" s="12">
        <f>G103+G105+G107</f>
        <v>1049.9</v>
      </c>
      <c r="H102" s="12">
        <f>H103+H105+H107</f>
        <v>1049.9</v>
      </c>
      <c r="I102" s="26"/>
      <c r="J102" s="26"/>
    </row>
    <row r="103" spans="1:10" ht="63">
      <c r="A103" s="23" t="s">
        <v>382</v>
      </c>
      <c r="B103" s="35" t="s">
        <v>354</v>
      </c>
      <c r="C103" s="21"/>
      <c r="D103" s="96">
        <f>'2020-2022 год Приложение  4'!E100</f>
        <v>1049.9</v>
      </c>
      <c r="E103" s="96">
        <f>'2020-2022 год Приложение  4'!F100</f>
        <v>0</v>
      </c>
      <c r="F103" s="96">
        <f>'2020-2022 год Приложение  4'!G100</f>
        <v>1049.9</v>
      </c>
      <c r="G103" s="96">
        <f>'2020-2022 год Приложение  4'!H100</f>
        <v>1049.9</v>
      </c>
      <c r="H103" s="96">
        <f>'2020-2022 год Приложение  4'!I100</f>
        <v>1049.9</v>
      </c>
      <c r="I103" s="26"/>
      <c r="J103" s="26"/>
    </row>
    <row r="104" spans="1:10" ht="47.25">
      <c r="A104" s="45" t="s">
        <v>453</v>
      </c>
      <c r="B104" s="35" t="s">
        <v>354</v>
      </c>
      <c r="C104" s="21" t="s">
        <v>8</v>
      </c>
      <c r="D104" s="96">
        <f>'2020-2022 год Приложение  4'!E101</f>
        <v>1049.9</v>
      </c>
      <c r="E104" s="96">
        <f>'2020-2022 год Приложение  4'!F101</f>
        <v>0</v>
      </c>
      <c r="F104" s="96">
        <f>'2020-2022 год Приложение  4'!G101</f>
        <v>1049.9</v>
      </c>
      <c r="G104" s="96">
        <f>'2020-2022 год Приложение  4'!H101</f>
        <v>1049.9</v>
      </c>
      <c r="H104" s="96">
        <f>'2020-2022 год Приложение  4'!I101</f>
        <v>1049.9</v>
      </c>
      <c r="I104" s="26"/>
      <c r="J104" s="26"/>
    </row>
    <row r="105" spans="1:10" ht="15.75">
      <c r="A105" s="51" t="s">
        <v>422</v>
      </c>
      <c r="B105" s="35" t="s">
        <v>443</v>
      </c>
      <c r="C105" s="21"/>
      <c r="D105" s="96">
        <f>D106</f>
        <v>2900</v>
      </c>
      <c r="E105" s="96">
        <f>E106</f>
        <v>-2900</v>
      </c>
      <c r="F105" s="96">
        <f>F106</f>
        <v>0</v>
      </c>
      <c r="G105" s="96">
        <f>G106</f>
        <v>0</v>
      </c>
      <c r="H105" s="96">
        <f>H106</f>
        <v>0</v>
      </c>
      <c r="I105" s="26"/>
      <c r="J105" s="26"/>
    </row>
    <row r="106" spans="1:10" ht="31.5">
      <c r="A106" s="51" t="s">
        <v>385</v>
      </c>
      <c r="B106" s="7" t="s">
        <v>443</v>
      </c>
      <c r="C106" s="21" t="s">
        <v>24</v>
      </c>
      <c r="D106" s="96">
        <f>'2020-2022 год Приложение  4'!E103</f>
        <v>2900</v>
      </c>
      <c r="E106" s="96">
        <f>'2020-2022 год Приложение  4'!F103</f>
        <v>-2900</v>
      </c>
      <c r="F106" s="96">
        <f>D106+E106</f>
        <v>0</v>
      </c>
      <c r="G106" s="96">
        <f>'2020-2022 год Приложение  4'!H103</f>
        <v>0</v>
      </c>
      <c r="H106" s="96">
        <f>'2020-2022 год Приложение  4'!I103</f>
        <v>0</v>
      </c>
      <c r="I106" s="26"/>
      <c r="J106" s="26"/>
    </row>
    <row r="107" spans="1:10" ht="63">
      <c r="A107" s="23" t="s">
        <v>445</v>
      </c>
      <c r="B107" s="35" t="s">
        <v>444</v>
      </c>
      <c r="C107" s="97"/>
      <c r="D107" s="96">
        <f>D108</f>
        <v>2525.3</v>
      </c>
      <c r="E107" s="96">
        <f>E108</f>
        <v>0</v>
      </c>
      <c r="F107" s="96">
        <f>F108</f>
        <v>2525.3</v>
      </c>
      <c r="G107" s="96">
        <f>G108</f>
        <v>0</v>
      </c>
      <c r="H107" s="96">
        <f>H108</f>
        <v>0</v>
      </c>
      <c r="I107" s="26"/>
      <c r="J107" s="26"/>
    </row>
    <row r="108" spans="1:10" ht="15.75">
      <c r="A108" s="46" t="s">
        <v>42</v>
      </c>
      <c r="B108" s="7" t="s">
        <v>444</v>
      </c>
      <c r="C108" s="21" t="s">
        <v>43</v>
      </c>
      <c r="D108" s="96">
        <f>'2020-2022 год Приложение  4'!E105</f>
        <v>2525.3</v>
      </c>
      <c r="E108" s="96">
        <f>'2020-2022 год Приложение  4'!F105</f>
        <v>0</v>
      </c>
      <c r="F108" s="96">
        <f>D108+E108</f>
        <v>2525.3</v>
      </c>
      <c r="G108" s="96">
        <f>'2020-2022 год Приложение  4'!H105</f>
        <v>0</v>
      </c>
      <c r="H108" s="96">
        <f>'2020-2022 год Приложение  4'!I105</f>
        <v>0</v>
      </c>
      <c r="I108" s="26"/>
      <c r="J108" s="26"/>
    </row>
    <row r="109" spans="1:10" ht="15.75">
      <c r="A109" s="29" t="s">
        <v>300</v>
      </c>
      <c r="B109" s="30" t="s">
        <v>109</v>
      </c>
      <c r="C109" s="30" t="s">
        <v>0</v>
      </c>
      <c r="D109" s="31">
        <f>D110+D127+D151+D175+D184</f>
        <v>1282500.6999999997</v>
      </c>
      <c r="E109" s="31">
        <f>E110+E127+E151+E175+E184</f>
        <v>9835.4</v>
      </c>
      <c r="F109" s="31">
        <f>F110+F127+F151+F175+F184</f>
        <v>1292336.0999999999</v>
      </c>
      <c r="G109" s="31">
        <f>G110+G127+G151+G175+G184</f>
        <v>1257926.7</v>
      </c>
      <c r="H109" s="31">
        <f>H110+H127+H151+H175+H184</f>
        <v>1305638.4999999995</v>
      </c>
      <c r="I109" s="26"/>
      <c r="J109" s="26"/>
    </row>
    <row r="110" spans="1:11" ht="15.75">
      <c r="A110" s="10" t="s">
        <v>301</v>
      </c>
      <c r="B110" s="11" t="s">
        <v>110</v>
      </c>
      <c r="C110" s="11" t="s">
        <v>0</v>
      </c>
      <c r="D110" s="12">
        <f>D111+D123+D117+D125+D115+D113+D121+D119</f>
        <v>509529.7</v>
      </c>
      <c r="E110" s="12">
        <f>E111+E123+E117+E125+E115+E113+E121+E119</f>
        <v>2436</v>
      </c>
      <c r="F110" s="12">
        <f>F111+F123+F117+F125+F115+F113+F121+F119</f>
        <v>511965.7</v>
      </c>
      <c r="G110" s="12">
        <f>G111+G123+G117+G125+G115+G113+G121+G119</f>
        <v>479523.1</v>
      </c>
      <c r="H110" s="12">
        <f>H111+H123+H117+H125+H115+H113+H121+H119</f>
        <v>498323</v>
      </c>
      <c r="I110" s="26"/>
      <c r="J110" s="26"/>
      <c r="K110" s="26"/>
    </row>
    <row r="111" spans="1:10" ht="15.75">
      <c r="A111" s="40" t="s">
        <v>25</v>
      </c>
      <c r="B111" s="42" t="s">
        <v>108</v>
      </c>
      <c r="C111" s="42"/>
      <c r="D111" s="43">
        <f>D112</f>
        <v>62762.9</v>
      </c>
      <c r="E111" s="43">
        <f>E112</f>
        <v>436</v>
      </c>
      <c r="F111" s="43">
        <f>F112</f>
        <v>63198.9</v>
      </c>
      <c r="G111" s="43">
        <f>G112</f>
        <v>51878.4</v>
      </c>
      <c r="H111" s="43">
        <f>H112</f>
        <v>53778.6</v>
      </c>
      <c r="I111" s="26"/>
      <c r="J111" s="26"/>
    </row>
    <row r="112" spans="1:12" ht="31.5">
      <c r="A112" s="40" t="s">
        <v>10</v>
      </c>
      <c r="B112" s="42" t="s">
        <v>108</v>
      </c>
      <c r="C112" s="42" t="s">
        <v>11</v>
      </c>
      <c r="D112" s="43">
        <f>'2020-2022 год Приложение  4'!E371</f>
        <v>62762.9</v>
      </c>
      <c r="E112" s="43">
        <f>'2020-2022 год Приложение  4'!F371</f>
        <v>436</v>
      </c>
      <c r="F112" s="43">
        <f>'2020-2022 год Приложение  4'!G371</f>
        <v>63198.9</v>
      </c>
      <c r="G112" s="43">
        <f>'2020-2022 год Приложение  4'!H371</f>
        <v>51878.4</v>
      </c>
      <c r="H112" s="43">
        <f>'2020-2022 год Приложение  4'!I371</f>
        <v>53778.6</v>
      </c>
      <c r="I112" s="26"/>
      <c r="J112" s="26"/>
      <c r="K112" s="26"/>
      <c r="L112" s="26"/>
    </row>
    <row r="113" spans="1:12" ht="31.5">
      <c r="A113" s="40" t="s">
        <v>261</v>
      </c>
      <c r="B113" s="42" t="s">
        <v>269</v>
      </c>
      <c r="C113" s="42"/>
      <c r="D113" s="43">
        <f>D114</f>
        <v>1780</v>
      </c>
      <c r="E113" s="43">
        <f>E114</f>
        <v>0</v>
      </c>
      <c r="F113" s="43">
        <f>F114</f>
        <v>1780</v>
      </c>
      <c r="G113" s="43">
        <f>G114</f>
        <v>1780</v>
      </c>
      <c r="H113" s="43">
        <f>H114</f>
        <v>1780</v>
      </c>
      <c r="I113" s="26"/>
      <c r="J113" s="26"/>
      <c r="K113" s="26"/>
      <c r="L113" s="26"/>
    </row>
    <row r="114" spans="1:10" ht="31.5">
      <c r="A114" s="40" t="s">
        <v>10</v>
      </c>
      <c r="B114" s="42" t="s">
        <v>269</v>
      </c>
      <c r="C114" s="42" t="s">
        <v>11</v>
      </c>
      <c r="D114" s="43">
        <f>'2020-2022 год Приложение  4'!E373</f>
        <v>1780</v>
      </c>
      <c r="E114" s="43">
        <f>'2020-2022 год Приложение  4'!F373</f>
        <v>0</v>
      </c>
      <c r="F114" s="43">
        <f>'2020-2022 год Приложение  4'!G373</f>
        <v>1780</v>
      </c>
      <c r="G114" s="43">
        <f>'2020-2022 год Приложение  4'!H373</f>
        <v>1780</v>
      </c>
      <c r="H114" s="43">
        <f>'2020-2022 год Приложение  4'!I373</f>
        <v>1780</v>
      </c>
      <c r="I114" s="26"/>
      <c r="J114" s="26"/>
    </row>
    <row r="115" spans="1:16" ht="47.25">
      <c r="A115" s="40" t="s">
        <v>63</v>
      </c>
      <c r="B115" s="42" t="s">
        <v>112</v>
      </c>
      <c r="C115" s="42"/>
      <c r="D115" s="43">
        <f>D116</f>
        <v>411362.5</v>
      </c>
      <c r="E115" s="43">
        <f>E116</f>
        <v>0</v>
      </c>
      <c r="F115" s="43">
        <f>F116</f>
        <v>411362.5</v>
      </c>
      <c r="G115" s="43">
        <f>G116</f>
        <v>399413.5</v>
      </c>
      <c r="H115" s="43">
        <f>H116</f>
        <v>415866.1</v>
      </c>
      <c r="I115" s="26"/>
      <c r="J115" s="26"/>
      <c r="K115" s="26"/>
      <c r="L115" s="26"/>
      <c r="N115" s="26"/>
      <c r="O115" s="26"/>
      <c r="P115" s="26"/>
    </row>
    <row r="116" spans="1:10" ht="31.5">
      <c r="A116" s="40" t="s">
        <v>10</v>
      </c>
      <c r="B116" s="42" t="s">
        <v>112</v>
      </c>
      <c r="C116" s="42" t="s">
        <v>11</v>
      </c>
      <c r="D116" s="43">
        <f>'2020-2022 год Приложение  4'!E375</f>
        <v>411362.5</v>
      </c>
      <c r="E116" s="43">
        <f>'2020-2022 год Приложение  4'!F375</f>
        <v>0</v>
      </c>
      <c r="F116" s="43">
        <f>'2020-2022 год Приложение  4'!G375</f>
        <v>411362.5</v>
      </c>
      <c r="G116" s="43">
        <f>'2020-2022 год Приложение  4'!H375</f>
        <v>399413.5</v>
      </c>
      <c r="H116" s="43">
        <f>'2020-2022 год Приложение  4'!I375</f>
        <v>415866.1</v>
      </c>
      <c r="I116" s="26"/>
      <c r="J116" s="26"/>
    </row>
    <row r="117" spans="1:10" ht="31.5">
      <c r="A117" s="40" t="s">
        <v>26</v>
      </c>
      <c r="B117" s="42" t="s">
        <v>111</v>
      </c>
      <c r="C117" s="42"/>
      <c r="D117" s="43">
        <f>D118</f>
        <v>1521.7</v>
      </c>
      <c r="E117" s="43">
        <f>E118</f>
        <v>2000</v>
      </c>
      <c r="F117" s="43">
        <f>F118</f>
        <v>3521.7</v>
      </c>
      <c r="G117" s="43">
        <f>G118</f>
        <v>0</v>
      </c>
      <c r="H117" s="43">
        <f>H118</f>
        <v>0</v>
      </c>
      <c r="I117" s="26"/>
      <c r="J117" s="26"/>
    </row>
    <row r="118" spans="1:10" ht="31.5">
      <c r="A118" s="40" t="s">
        <v>10</v>
      </c>
      <c r="B118" s="42" t="s">
        <v>111</v>
      </c>
      <c r="C118" s="42" t="s">
        <v>11</v>
      </c>
      <c r="D118" s="43">
        <f>'2020-2022 год Приложение  4'!E377</f>
        <v>1521.7</v>
      </c>
      <c r="E118" s="43">
        <f>'2020-2022 год Приложение  4'!F377</f>
        <v>2000</v>
      </c>
      <c r="F118" s="43">
        <f>'2020-2022 год Приложение  4'!G377</f>
        <v>3521.7</v>
      </c>
      <c r="G118" s="43">
        <f>'2020-2022 год Приложение  4'!H377</f>
        <v>0</v>
      </c>
      <c r="H118" s="43">
        <f>'2020-2022 год Приложение  4'!I377</f>
        <v>0</v>
      </c>
      <c r="I118" s="26"/>
      <c r="J118" s="26"/>
    </row>
    <row r="119" spans="1:10" ht="31.5">
      <c r="A119" s="40" t="s">
        <v>418</v>
      </c>
      <c r="B119" s="42" t="s">
        <v>420</v>
      </c>
      <c r="C119" s="42"/>
      <c r="D119" s="43">
        <f>D120</f>
        <v>5231.7</v>
      </c>
      <c r="E119" s="43">
        <f>E120</f>
        <v>0</v>
      </c>
      <c r="F119" s="43">
        <f>F120</f>
        <v>5231.7</v>
      </c>
      <c r="G119" s="43">
        <f>G120</f>
        <v>0</v>
      </c>
      <c r="H119" s="43">
        <f>H120</f>
        <v>0</v>
      </c>
      <c r="I119" s="26"/>
      <c r="J119" s="26"/>
    </row>
    <row r="120" spans="1:10" ht="31.5">
      <c r="A120" s="40" t="s">
        <v>10</v>
      </c>
      <c r="B120" s="42" t="s">
        <v>420</v>
      </c>
      <c r="C120" s="42" t="s">
        <v>11</v>
      </c>
      <c r="D120" s="43">
        <f>'2020-2022 год Приложение  4'!E379</f>
        <v>5231.7</v>
      </c>
      <c r="E120" s="43">
        <f>'2020-2022 год Приложение  4'!F379</f>
        <v>0</v>
      </c>
      <c r="F120" s="43">
        <f>'2020-2022 год Приложение  4'!G379</f>
        <v>5231.7</v>
      </c>
      <c r="G120" s="43">
        <f>'2020-2022 год Приложение  4'!H379</f>
        <v>0</v>
      </c>
      <c r="H120" s="43">
        <f>'2020-2022 год Приложение  4'!I379</f>
        <v>0</v>
      </c>
      <c r="I120" s="26"/>
      <c r="J120" s="26"/>
    </row>
    <row r="121" spans="1:10" ht="31.5">
      <c r="A121" s="40" t="s">
        <v>202</v>
      </c>
      <c r="B121" s="42" t="s">
        <v>325</v>
      </c>
      <c r="C121" s="42"/>
      <c r="D121" s="43">
        <f>D122</f>
        <v>666.6</v>
      </c>
      <c r="E121" s="43">
        <f>E122</f>
        <v>0</v>
      </c>
      <c r="F121" s="43">
        <f>F122</f>
        <v>666.6</v>
      </c>
      <c r="G121" s="43">
        <f>G122</f>
        <v>0</v>
      </c>
      <c r="H121" s="43">
        <f>H122</f>
        <v>0</v>
      </c>
      <c r="I121" s="26"/>
      <c r="J121" s="26"/>
    </row>
    <row r="122" spans="1:10" ht="31.5">
      <c r="A122" s="40" t="s">
        <v>10</v>
      </c>
      <c r="B122" s="42" t="s">
        <v>325</v>
      </c>
      <c r="C122" s="42" t="s">
        <v>11</v>
      </c>
      <c r="D122" s="43">
        <f>'2020-2022 год Приложение  4'!E381</f>
        <v>666.6</v>
      </c>
      <c r="E122" s="43">
        <f>'2020-2022 год Приложение  4'!F381</f>
        <v>0</v>
      </c>
      <c r="F122" s="43">
        <f>'2020-2022 год Приложение  4'!G381</f>
        <v>666.6</v>
      </c>
      <c r="G122" s="43">
        <f>'2020-2022 год Приложение  4'!H381</f>
        <v>0</v>
      </c>
      <c r="H122" s="43">
        <f>'2020-2022 год Приложение  4'!I381</f>
        <v>0</v>
      </c>
      <c r="I122" s="26"/>
      <c r="J122" s="26"/>
    </row>
    <row r="123" spans="1:10" ht="63">
      <c r="A123" s="40" t="s">
        <v>62</v>
      </c>
      <c r="B123" s="42" t="s">
        <v>359</v>
      </c>
      <c r="C123" s="42"/>
      <c r="D123" s="43">
        <f>D124</f>
        <v>24355.3</v>
      </c>
      <c r="E123" s="43">
        <f>E124</f>
        <v>0</v>
      </c>
      <c r="F123" s="43">
        <f>F124</f>
        <v>24355.3</v>
      </c>
      <c r="G123" s="43">
        <f>G124</f>
        <v>24505.2</v>
      </c>
      <c r="H123" s="43">
        <f>H124</f>
        <v>24828.3</v>
      </c>
      <c r="I123" s="26"/>
      <c r="J123" s="26"/>
    </row>
    <row r="124" spans="1:10" ht="31.5">
      <c r="A124" s="40" t="s">
        <v>10</v>
      </c>
      <c r="B124" s="42" t="s">
        <v>359</v>
      </c>
      <c r="C124" s="42" t="s">
        <v>11</v>
      </c>
      <c r="D124" s="43">
        <f>'2020-2022 год Приложение  4'!E383</f>
        <v>24355.3</v>
      </c>
      <c r="E124" s="43">
        <f>'2020-2022 год Приложение  4'!F383</f>
        <v>0</v>
      </c>
      <c r="F124" s="43">
        <f>'2020-2022 год Приложение  4'!G383</f>
        <v>24355.3</v>
      </c>
      <c r="G124" s="43">
        <f>'2020-2022 год Приложение  4'!H383</f>
        <v>24505.2</v>
      </c>
      <c r="H124" s="43">
        <f>'2020-2022 год Приложение  4'!I383</f>
        <v>24828.3</v>
      </c>
      <c r="I124" s="26"/>
      <c r="J124" s="26"/>
    </row>
    <row r="125" spans="1:10" ht="94.5">
      <c r="A125" s="54" t="s">
        <v>194</v>
      </c>
      <c r="B125" s="42" t="s">
        <v>360</v>
      </c>
      <c r="C125" s="42"/>
      <c r="D125" s="43">
        <f>D126</f>
        <v>1849</v>
      </c>
      <c r="E125" s="43">
        <f>E126</f>
        <v>0</v>
      </c>
      <c r="F125" s="43">
        <f>F126</f>
        <v>1849</v>
      </c>
      <c r="G125" s="43">
        <f>G126</f>
        <v>1946</v>
      </c>
      <c r="H125" s="43">
        <f>H126</f>
        <v>2070</v>
      </c>
      <c r="I125" s="26"/>
      <c r="J125" s="26"/>
    </row>
    <row r="126" spans="1:10" ht="15.75">
      <c r="A126" s="40" t="s">
        <v>27</v>
      </c>
      <c r="B126" s="42" t="s">
        <v>360</v>
      </c>
      <c r="C126" s="42" t="s">
        <v>16</v>
      </c>
      <c r="D126" s="43">
        <f>'2020-2022 год Приложение  4'!E385</f>
        <v>1849</v>
      </c>
      <c r="E126" s="43">
        <f>'2020-2022 год Приложение  4'!F385</f>
        <v>0</v>
      </c>
      <c r="F126" s="43">
        <f>'2020-2022 год Приложение  4'!G385</f>
        <v>1849</v>
      </c>
      <c r="G126" s="43">
        <f>'2020-2022 год Приложение  4'!H385</f>
        <v>1946</v>
      </c>
      <c r="H126" s="43">
        <f>'2020-2022 год Приложение  4'!I385</f>
        <v>2070</v>
      </c>
      <c r="I126" s="26"/>
      <c r="J126" s="26"/>
    </row>
    <row r="127" spans="1:11" ht="15.75">
      <c r="A127" s="10" t="s">
        <v>302</v>
      </c>
      <c r="B127" s="11" t="s">
        <v>113</v>
      </c>
      <c r="C127" s="11" t="s">
        <v>0</v>
      </c>
      <c r="D127" s="12">
        <f>D128+D134+D145+D143+D132+D141+D139+D130+D149+D137+D147</f>
        <v>643181.0999999999</v>
      </c>
      <c r="E127" s="12">
        <f>E128+E134+E145+E143+E132+E141+E139+E130+E149+E137+E147</f>
        <v>7399.4</v>
      </c>
      <c r="F127" s="12">
        <f>F128+F134+F145+F143+F132+F141+F139+F130+F149+F137+F147</f>
        <v>650580.4999999999</v>
      </c>
      <c r="G127" s="12">
        <f>G128+G134+G145+G143+G132+G141+G139+G130+G149+G137+G147</f>
        <v>651787.9</v>
      </c>
      <c r="H127" s="12">
        <f>H128+H134+H145+H143+H132+H141+H139+H130+H149+H137+H147</f>
        <v>678974.2999999999</v>
      </c>
      <c r="I127" s="26"/>
      <c r="J127" s="26"/>
      <c r="K127" s="108"/>
    </row>
    <row r="128" spans="1:10" ht="15.75">
      <c r="A128" s="40" t="s">
        <v>25</v>
      </c>
      <c r="B128" s="42" t="s">
        <v>114</v>
      </c>
      <c r="C128" s="42"/>
      <c r="D128" s="43">
        <f>D129</f>
        <v>103502.6</v>
      </c>
      <c r="E128" s="43">
        <f>E129</f>
        <v>-1000</v>
      </c>
      <c r="F128" s="43">
        <f>F129</f>
        <v>102502.6</v>
      </c>
      <c r="G128" s="43">
        <f>G129</f>
        <v>95107.3</v>
      </c>
      <c r="H128" s="43">
        <f>H129</f>
        <v>99469.2</v>
      </c>
      <c r="I128" s="26"/>
      <c r="J128" s="26"/>
    </row>
    <row r="129" spans="1:11" ht="31.5">
      <c r="A129" s="40" t="s">
        <v>10</v>
      </c>
      <c r="B129" s="42" t="s">
        <v>114</v>
      </c>
      <c r="C129" s="42" t="s">
        <v>11</v>
      </c>
      <c r="D129" s="43">
        <f>'2020-2022 год Приложение  4'!E388</f>
        <v>103502.6</v>
      </c>
      <c r="E129" s="43">
        <f>'2020-2022 год Приложение  4'!F388</f>
        <v>-1000</v>
      </c>
      <c r="F129" s="43">
        <f>'2020-2022 год Приложение  4'!G388</f>
        <v>102502.6</v>
      </c>
      <c r="G129" s="43">
        <f>'2020-2022 год Приложение  4'!H388</f>
        <v>95107.3</v>
      </c>
      <c r="H129" s="43">
        <f>'2020-2022 год Приложение  4'!I388</f>
        <v>99469.2</v>
      </c>
      <c r="I129" s="26"/>
      <c r="J129" s="26"/>
      <c r="K129" s="26"/>
    </row>
    <row r="130" spans="1:10" ht="31.5">
      <c r="A130" s="40" t="s">
        <v>261</v>
      </c>
      <c r="B130" s="42" t="s">
        <v>270</v>
      </c>
      <c r="C130" s="42"/>
      <c r="D130" s="43">
        <f>D131</f>
        <v>1712.2</v>
      </c>
      <c r="E130" s="43">
        <f>E131</f>
        <v>0</v>
      </c>
      <c r="F130" s="43">
        <f>F131</f>
        <v>1712.2</v>
      </c>
      <c r="G130" s="43">
        <f>G131</f>
        <v>1712.2</v>
      </c>
      <c r="H130" s="43">
        <f>H131</f>
        <v>1712.2</v>
      </c>
      <c r="I130" s="26"/>
      <c r="J130" s="26"/>
    </row>
    <row r="131" spans="1:10" ht="31.5">
      <c r="A131" s="40" t="s">
        <v>10</v>
      </c>
      <c r="B131" s="42" t="s">
        <v>270</v>
      </c>
      <c r="C131" s="42" t="s">
        <v>11</v>
      </c>
      <c r="D131" s="43">
        <f>'2020-2022 год Приложение  4'!E390</f>
        <v>1712.2</v>
      </c>
      <c r="E131" s="43">
        <f>'2020-2022 год Приложение  4'!F390</f>
        <v>0</v>
      </c>
      <c r="F131" s="43">
        <f>'2020-2022 год Приложение  4'!G390</f>
        <v>1712.2</v>
      </c>
      <c r="G131" s="43">
        <f>'2020-2022 год Приложение  4'!H390</f>
        <v>1712.2</v>
      </c>
      <c r="H131" s="43">
        <f>'2020-2022 год Приложение  4'!I390</f>
        <v>1712.2</v>
      </c>
      <c r="I131" s="26"/>
      <c r="J131" s="26"/>
    </row>
    <row r="132" spans="1:16" ht="47.25">
      <c r="A132" s="40" t="s">
        <v>63</v>
      </c>
      <c r="B132" s="42" t="s">
        <v>115</v>
      </c>
      <c r="C132" s="42"/>
      <c r="D132" s="43">
        <f>D133</f>
        <v>484515.7</v>
      </c>
      <c r="E132" s="43">
        <f>E133</f>
        <v>0</v>
      </c>
      <c r="F132" s="43">
        <f>F133</f>
        <v>484515.7</v>
      </c>
      <c r="G132" s="43">
        <f>G133</f>
        <v>521918.4</v>
      </c>
      <c r="H132" s="43">
        <f>H133</f>
        <v>543417.2</v>
      </c>
      <c r="I132" s="26"/>
      <c r="J132" s="26"/>
      <c r="K132" s="26"/>
      <c r="N132" s="26"/>
      <c r="O132" s="26"/>
      <c r="P132" s="26"/>
    </row>
    <row r="133" spans="1:10" ht="31.5">
      <c r="A133" s="40" t="s">
        <v>10</v>
      </c>
      <c r="B133" s="42" t="s">
        <v>115</v>
      </c>
      <c r="C133" s="42" t="s">
        <v>11</v>
      </c>
      <c r="D133" s="43">
        <f>'2020-2022 год Приложение  4'!E392</f>
        <v>484515.7</v>
      </c>
      <c r="E133" s="43">
        <f>'2020-2022 год Приложение  4'!F392</f>
        <v>0</v>
      </c>
      <c r="F133" s="43">
        <f>'2020-2022 год Приложение  4'!G392</f>
        <v>484515.7</v>
      </c>
      <c r="G133" s="43">
        <f>'2020-2022 год Приложение  4'!H392</f>
        <v>521918.4</v>
      </c>
      <c r="H133" s="43">
        <f>'2020-2022 год Приложение  4'!I392</f>
        <v>543417.2</v>
      </c>
      <c r="I133" s="26"/>
      <c r="J133" s="26"/>
    </row>
    <row r="134" spans="1:10" ht="31.5">
      <c r="A134" s="40" t="s">
        <v>28</v>
      </c>
      <c r="B134" s="42" t="s">
        <v>121</v>
      </c>
      <c r="C134" s="42"/>
      <c r="D134" s="43">
        <f>D136+D135</f>
        <v>8930.7</v>
      </c>
      <c r="E134" s="43">
        <f>E136+E135</f>
        <v>-436</v>
      </c>
      <c r="F134" s="43">
        <f>F136+F135</f>
        <v>8494.7</v>
      </c>
      <c r="G134" s="43">
        <f>G136+G135</f>
        <v>0</v>
      </c>
      <c r="H134" s="43">
        <f>H136+H135</f>
        <v>0</v>
      </c>
      <c r="I134" s="26"/>
      <c r="J134" s="26"/>
    </row>
    <row r="135" spans="1:10" ht="31.5">
      <c r="A135" s="40" t="s">
        <v>385</v>
      </c>
      <c r="B135" s="42" t="s">
        <v>121</v>
      </c>
      <c r="C135" s="42" t="s">
        <v>24</v>
      </c>
      <c r="D135" s="43">
        <f>'2020-2022 год Приложение  4'!E394</f>
        <v>5177.7</v>
      </c>
      <c r="E135" s="43">
        <f>'2020-2022 год Приложение  4'!F394</f>
        <v>-631</v>
      </c>
      <c r="F135" s="43">
        <f>'2020-2022 год Приложение  4'!G394</f>
        <v>4546.7</v>
      </c>
      <c r="G135" s="43">
        <f>'2020-2022 год Приложение  4'!H394</f>
        <v>0</v>
      </c>
      <c r="H135" s="43">
        <f>'2020-2022 год Приложение  4'!I394</f>
        <v>0</v>
      </c>
      <c r="I135" s="26"/>
      <c r="J135" s="26"/>
    </row>
    <row r="136" spans="1:10" ht="31.5">
      <c r="A136" s="40" t="s">
        <v>10</v>
      </c>
      <c r="B136" s="42" t="s">
        <v>121</v>
      </c>
      <c r="C136" s="42" t="s">
        <v>11</v>
      </c>
      <c r="D136" s="43">
        <f>'2020-2022 год Приложение  4'!E395</f>
        <v>3753</v>
      </c>
      <c r="E136" s="43">
        <f>'2020-2022 год Приложение  4'!F395</f>
        <v>195</v>
      </c>
      <c r="F136" s="43">
        <f>'2020-2022 год Приложение  4'!G395</f>
        <v>3948</v>
      </c>
      <c r="G136" s="43">
        <f>'2020-2022 год Приложение  4'!H395</f>
        <v>0</v>
      </c>
      <c r="H136" s="43">
        <f>'2020-2022 год Приложение  4'!I395</f>
        <v>0</v>
      </c>
      <c r="I136" s="26"/>
      <c r="J136" s="26"/>
    </row>
    <row r="137" spans="1:10" ht="31.5">
      <c r="A137" s="40" t="s">
        <v>418</v>
      </c>
      <c r="B137" s="42" t="s">
        <v>421</v>
      </c>
      <c r="C137" s="42"/>
      <c r="D137" s="43">
        <f>D138</f>
        <v>10375.2</v>
      </c>
      <c r="E137" s="43">
        <f>E138</f>
        <v>0</v>
      </c>
      <c r="F137" s="43">
        <f>F138</f>
        <v>10375.2</v>
      </c>
      <c r="G137" s="43">
        <f>G138</f>
        <v>0</v>
      </c>
      <c r="H137" s="43">
        <f>H138</f>
        <v>0</v>
      </c>
      <c r="I137" s="26"/>
      <c r="J137" s="26"/>
    </row>
    <row r="138" spans="1:10" ht="31.5">
      <c r="A138" s="40" t="s">
        <v>10</v>
      </c>
      <c r="B138" s="42" t="s">
        <v>421</v>
      </c>
      <c r="C138" s="42" t="s">
        <v>11</v>
      </c>
      <c r="D138" s="43">
        <f>'2020-2022 год Приложение  4'!E397</f>
        <v>10375.2</v>
      </c>
      <c r="E138" s="43">
        <f>'2020-2022 год Приложение  4'!F397</f>
        <v>0</v>
      </c>
      <c r="F138" s="43">
        <f>'2020-2022 год Приложение  4'!G397</f>
        <v>10375.2</v>
      </c>
      <c r="G138" s="43">
        <f>'2020-2022 год Приложение  4'!H397</f>
        <v>0</v>
      </c>
      <c r="H138" s="43">
        <f>'2020-2022 год Приложение  4'!I397</f>
        <v>0</v>
      </c>
      <c r="I138" s="26"/>
      <c r="J138" s="26"/>
    </row>
    <row r="139" spans="1:10" ht="31.5">
      <c r="A139" s="40" t="s">
        <v>202</v>
      </c>
      <c r="B139" s="42" t="s">
        <v>206</v>
      </c>
      <c r="C139" s="42"/>
      <c r="D139" s="43">
        <f>D140</f>
        <v>582</v>
      </c>
      <c r="E139" s="43">
        <f>E140</f>
        <v>0</v>
      </c>
      <c r="F139" s="43">
        <f>F140</f>
        <v>582</v>
      </c>
      <c r="G139" s="43">
        <f>G140</f>
        <v>0</v>
      </c>
      <c r="H139" s="43">
        <f>H140</f>
        <v>0</v>
      </c>
      <c r="I139" s="26"/>
      <c r="J139" s="26"/>
    </row>
    <row r="140" spans="1:10" ht="31.5">
      <c r="A140" s="40" t="s">
        <v>10</v>
      </c>
      <c r="B140" s="42" t="s">
        <v>206</v>
      </c>
      <c r="C140" s="42" t="s">
        <v>11</v>
      </c>
      <c r="D140" s="43">
        <f>'2020-2022 год Приложение  4'!E399</f>
        <v>582</v>
      </c>
      <c r="E140" s="43">
        <f>'2020-2022 год Приложение  4'!F399</f>
        <v>0</v>
      </c>
      <c r="F140" s="43">
        <f>'2020-2022 год Приложение  4'!G399</f>
        <v>582</v>
      </c>
      <c r="G140" s="43">
        <f>'2020-2022 год Приложение  4'!H399</f>
        <v>0</v>
      </c>
      <c r="H140" s="43">
        <f>'2020-2022 год Приложение  4'!I399</f>
        <v>0</v>
      </c>
      <c r="I140" s="26"/>
      <c r="J140" s="26"/>
    </row>
    <row r="141" spans="1:11" ht="47.25">
      <c r="A141" s="40" t="s">
        <v>91</v>
      </c>
      <c r="B141" s="27" t="s">
        <v>361</v>
      </c>
      <c r="C141" s="42"/>
      <c r="D141" s="37">
        <f>D142</f>
        <v>27780.2</v>
      </c>
      <c r="E141" s="37">
        <f>E142</f>
        <v>0</v>
      </c>
      <c r="F141" s="37">
        <f>F142</f>
        <v>27780.2</v>
      </c>
      <c r="G141" s="37">
        <f>G142</f>
        <v>28891.300000000003</v>
      </c>
      <c r="H141" s="37">
        <f>H142</f>
        <v>30047</v>
      </c>
      <c r="I141" s="26"/>
      <c r="J141" s="26"/>
      <c r="K141" s="109"/>
    </row>
    <row r="142" spans="1:10" ht="31.5">
      <c r="A142" s="40" t="s">
        <v>10</v>
      </c>
      <c r="B142" s="27" t="s">
        <v>361</v>
      </c>
      <c r="C142" s="42" t="s">
        <v>11</v>
      </c>
      <c r="D142" s="37">
        <f>'2020-2022 год Приложение  4'!E401</f>
        <v>27780.2</v>
      </c>
      <c r="E142" s="37">
        <f>'2020-2022 год Приложение  4'!F401</f>
        <v>0</v>
      </c>
      <c r="F142" s="37">
        <f>'2020-2022 год Приложение  4'!G401</f>
        <v>27780.2</v>
      </c>
      <c r="G142" s="37">
        <f>'2020-2022 год Приложение  4'!H401</f>
        <v>28891.300000000003</v>
      </c>
      <c r="H142" s="37">
        <f>'2020-2022 год Приложение  4'!I401</f>
        <v>30047</v>
      </c>
      <c r="I142" s="26"/>
      <c r="J142" s="26"/>
    </row>
    <row r="143" spans="1:11" ht="47.25">
      <c r="A143" s="40" t="s">
        <v>81</v>
      </c>
      <c r="B143" s="42" t="s">
        <v>362</v>
      </c>
      <c r="C143" s="42"/>
      <c r="D143" s="43">
        <f>D144</f>
        <v>18.7</v>
      </c>
      <c r="E143" s="43">
        <f>E144</f>
        <v>0</v>
      </c>
      <c r="F143" s="43">
        <f>F144</f>
        <v>18.7</v>
      </c>
      <c r="G143" s="43">
        <f>G144</f>
        <v>18.7</v>
      </c>
      <c r="H143" s="43">
        <f>H144</f>
        <v>18.7</v>
      </c>
      <c r="I143" s="26"/>
      <c r="J143" s="26"/>
      <c r="K143" s="108"/>
    </row>
    <row r="144" spans="1:10" ht="15.75">
      <c r="A144" s="40" t="s">
        <v>27</v>
      </c>
      <c r="B144" s="42" t="s">
        <v>362</v>
      </c>
      <c r="C144" s="42" t="s">
        <v>16</v>
      </c>
      <c r="D144" s="43">
        <f>'2020-2022 год Приложение  4'!E403</f>
        <v>18.7</v>
      </c>
      <c r="E144" s="43">
        <f>'2020-2022 год Приложение  4'!F403</f>
        <v>0</v>
      </c>
      <c r="F144" s="43">
        <f>'2020-2022 год Приложение  4'!G403</f>
        <v>18.7</v>
      </c>
      <c r="G144" s="43">
        <f>'2020-2022 год Приложение  4'!H403</f>
        <v>18.7</v>
      </c>
      <c r="H144" s="43">
        <f>'2020-2022 год Приложение  4'!I403</f>
        <v>18.7</v>
      </c>
      <c r="I144" s="26"/>
      <c r="J144" s="26"/>
    </row>
    <row r="145" spans="1:10" ht="94.5">
      <c r="A145" s="54" t="s">
        <v>194</v>
      </c>
      <c r="B145" s="42" t="s">
        <v>363</v>
      </c>
      <c r="C145" s="42"/>
      <c r="D145" s="43">
        <f>D146</f>
        <v>3942</v>
      </c>
      <c r="E145" s="43">
        <f>E146</f>
        <v>0</v>
      </c>
      <c r="F145" s="43">
        <f>F146</f>
        <v>3942</v>
      </c>
      <c r="G145" s="43">
        <f>G146</f>
        <v>4140</v>
      </c>
      <c r="H145" s="43">
        <f>H146</f>
        <v>4310</v>
      </c>
      <c r="I145" s="26"/>
      <c r="J145" s="26"/>
    </row>
    <row r="146" spans="1:10" ht="15.75">
      <c r="A146" s="40" t="s">
        <v>27</v>
      </c>
      <c r="B146" s="42" t="s">
        <v>363</v>
      </c>
      <c r="C146" s="42" t="s">
        <v>16</v>
      </c>
      <c r="D146" s="43">
        <f>'2020-2022 год Приложение  4'!E405</f>
        <v>3942</v>
      </c>
      <c r="E146" s="43">
        <f>'2020-2022 год Приложение  4'!F405</f>
        <v>0</v>
      </c>
      <c r="F146" s="43">
        <f>'2020-2022 год Приложение  4'!G405</f>
        <v>3942</v>
      </c>
      <c r="G146" s="43">
        <f>'2020-2022 год Приложение  4'!H405</f>
        <v>4140</v>
      </c>
      <c r="H146" s="43">
        <f>'2020-2022 год Приложение  4'!I405</f>
        <v>4310</v>
      </c>
      <c r="I146" s="26"/>
      <c r="J146" s="26"/>
    </row>
    <row r="147" spans="1:10" ht="78.75">
      <c r="A147" s="54" t="s">
        <v>457</v>
      </c>
      <c r="B147" s="42" t="s">
        <v>458</v>
      </c>
      <c r="C147" s="42"/>
      <c r="D147" s="43">
        <f>D148</f>
        <v>0</v>
      </c>
      <c r="E147" s="43">
        <f>E148</f>
        <v>8835.4</v>
      </c>
      <c r="F147" s="43">
        <f>F148</f>
        <v>8835.4</v>
      </c>
      <c r="G147" s="43">
        <f>G148</f>
        <v>0</v>
      </c>
      <c r="H147" s="43">
        <f>H148</f>
        <v>0</v>
      </c>
      <c r="I147" s="26"/>
      <c r="J147" s="26"/>
    </row>
    <row r="148" spans="1:10" ht="31.5">
      <c r="A148" s="54" t="s">
        <v>10</v>
      </c>
      <c r="B148" s="42" t="s">
        <v>458</v>
      </c>
      <c r="C148" s="42" t="s">
        <v>11</v>
      </c>
      <c r="D148" s="43">
        <f>'2020-2022 год Приложение  4'!E407</f>
        <v>0</v>
      </c>
      <c r="E148" s="43">
        <f>'2020-2022 год Приложение  4'!F407</f>
        <v>8835.4</v>
      </c>
      <c r="F148" s="43">
        <f>'2020-2022 год Приложение  4'!G407</f>
        <v>8835.4</v>
      </c>
      <c r="G148" s="43">
        <f>'2020-2022 год Приложение  4'!H407</f>
        <v>0</v>
      </c>
      <c r="H148" s="43">
        <f>'2020-2022 год Приложение  4'!I407</f>
        <v>0</v>
      </c>
      <c r="I148" s="26"/>
      <c r="J148" s="26"/>
    </row>
    <row r="149" spans="1:10" ht="31.5">
      <c r="A149" s="40" t="s">
        <v>418</v>
      </c>
      <c r="B149" s="42" t="s">
        <v>417</v>
      </c>
      <c r="C149" s="42"/>
      <c r="D149" s="43">
        <f>D150</f>
        <v>1821.8</v>
      </c>
      <c r="E149" s="43">
        <f>E150</f>
        <v>0</v>
      </c>
      <c r="F149" s="43">
        <f>F150</f>
        <v>1821.8</v>
      </c>
      <c r="G149" s="43">
        <f>G150</f>
        <v>0</v>
      </c>
      <c r="H149" s="43">
        <f>H150</f>
        <v>0</v>
      </c>
      <c r="I149" s="26"/>
      <c r="J149" s="26"/>
    </row>
    <row r="150" spans="1:10" ht="31.5">
      <c r="A150" s="40" t="s">
        <v>10</v>
      </c>
      <c r="B150" s="42" t="s">
        <v>417</v>
      </c>
      <c r="C150" s="42" t="s">
        <v>11</v>
      </c>
      <c r="D150" s="43">
        <f>'2020-2022 год Приложение  4'!E409</f>
        <v>1821.8</v>
      </c>
      <c r="E150" s="43">
        <f>'2020-2022 год Приложение  4'!F409</f>
        <v>0</v>
      </c>
      <c r="F150" s="43">
        <f>'2020-2022 год Приложение  4'!G409</f>
        <v>1821.8</v>
      </c>
      <c r="G150" s="43">
        <f>'2020-2022 год Приложение  4'!H409</f>
        <v>0</v>
      </c>
      <c r="H150" s="43">
        <f>'2020-2022 год Приложение  4'!I409</f>
        <v>0</v>
      </c>
      <c r="I150" s="26"/>
      <c r="J150" s="26"/>
    </row>
    <row r="151" spans="1:11" ht="15.75">
      <c r="A151" s="10" t="s">
        <v>303</v>
      </c>
      <c r="B151" s="11" t="s">
        <v>116</v>
      </c>
      <c r="C151" s="11" t="s">
        <v>0</v>
      </c>
      <c r="D151" s="12">
        <f>D152+D156+D169+D172+D159+D163+D154+D161+D167+D165</f>
        <v>46197.200000000004</v>
      </c>
      <c r="E151" s="12">
        <f>E152+E156+E169+E172+E159+E163+E154+E161+E167+E165</f>
        <v>0</v>
      </c>
      <c r="F151" s="12">
        <f>F152+F156+F169+F172+F159+F163+F154+F161+F167+F165</f>
        <v>46197.200000000004</v>
      </c>
      <c r="G151" s="12">
        <f>G152+G156+G169+G172+G159+G163+G154+G161+G167+G165</f>
        <v>45204.8</v>
      </c>
      <c r="H151" s="12">
        <f>H152+H156+H169+H172+H159+H163+H154+H161+H167+H165</f>
        <v>46271.899999999994</v>
      </c>
      <c r="I151" s="26"/>
      <c r="J151" s="26"/>
      <c r="K151" s="26"/>
    </row>
    <row r="152" spans="1:11" ht="15.75">
      <c r="A152" s="40" t="s">
        <v>25</v>
      </c>
      <c r="B152" s="42" t="s">
        <v>117</v>
      </c>
      <c r="C152" s="42"/>
      <c r="D152" s="43">
        <f>D153</f>
        <v>31639.8</v>
      </c>
      <c r="E152" s="43">
        <f>E153</f>
        <v>0</v>
      </c>
      <c r="F152" s="43">
        <f>F153</f>
        <v>31639.8</v>
      </c>
      <c r="G152" s="43">
        <f>G153</f>
        <v>30902.7</v>
      </c>
      <c r="H152" s="43">
        <f>H153</f>
        <v>31061.5</v>
      </c>
      <c r="I152" s="26"/>
      <c r="J152" s="26"/>
      <c r="K152" s="26"/>
    </row>
    <row r="153" spans="1:11" ht="31.5">
      <c r="A153" s="40" t="s">
        <v>10</v>
      </c>
      <c r="B153" s="42" t="s">
        <v>117</v>
      </c>
      <c r="C153" s="42" t="s">
        <v>11</v>
      </c>
      <c r="D153" s="43">
        <f>'2020-2022 год Приложение  4'!E412</f>
        <v>31639.8</v>
      </c>
      <c r="E153" s="43">
        <f>'2020-2022 год Приложение  4'!F412</f>
        <v>0</v>
      </c>
      <c r="F153" s="43">
        <f>'2020-2022 год Приложение  4'!G412</f>
        <v>31639.8</v>
      </c>
      <c r="G153" s="43">
        <f>'2020-2022 год Приложение  4'!H412</f>
        <v>30902.7</v>
      </c>
      <c r="H153" s="43">
        <f>'2020-2022 год Приложение  4'!I412</f>
        <v>31061.5</v>
      </c>
      <c r="I153" s="26"/>
      <c r="J153" s="26"/>
      <c r="K153" s="26"/>
    </row>
    <row r="154" spans="1:12" ht="31.5">
      <c r="A154" s="40" t="s">
        <v>261</v>
      </c>
      <c r="B154" s="42" t="s">
        <v>271</v>
      </c>
      <c r="C154" s="42"/>
      <c r="D154" s="43">
        <f>D155</f>
        <v>456.5</v>
      </c>
      <c r="E154" s="43">
        <f>E155</f>
        <v>0</v>
      </c>
      <c r="F154" s="43">
        <f>F155</f>
        <v>456.5</v>
      </c>
      <c r="G154" s="43">
        <f>G155</f>
        <v>456.5</v>
      </c>
      <c r="H154" s="43">
        <f>H155</f>
        <v>456.5</v>
      </c>
      <c r="I154" s="26"/>
      <c r="J154" s="26"/>
      <c r="K154" s="26"/>
      <c r="L154" s="26"/>
    </row>
    <row r="155" spans="1:10" ht="31.5">
      <c r="A155" s="40" t="s">
        <v>10</v>
      </c>
      <c r="B155" s="42" t="s">
        <v>271</v>
      </c>
      <c r="C155" s="42" t="s">
        <v>11</v>
      </c>
      <c r="D155" s="43">
        <f>'2020-2022 год Приложение  4'!E414</f>
        <v>456.5</v>
      </c>
      <c r="E155" s="43">
        <f>'2020-2022 год Приложение  4'!F414</f>
        <v>0</v>
      </c>
      <c r="F155" s="43">
        <f>'2020-2022 год Приложение  4'!G414</f>
        <v>456.5</v>
      </c>
      <c r="G155" s="43">
        <f>'2020-2022 год Приложение  4'!H414</f>
        <v>456.5</v>
      </c>
      <c r="H155" s="43">
        <f>'2020-2022 год Приложение  4'!I414</f>
        <v>456.5</v>
      </c>
      <c r="I155" s="26"/>
      <c r="J155" s="26"/>
    </row>
    <row r="156" spans="1:10" ht="15.75">
      <c r="A156" s="40" t="s">
        <v>69</v>
      </c>
      <c r="B156" s="42" t="s">
        <v>367</v>
      </c>
      <c r="C156" s="42"/>
      <c r="D156" s="43">
        <f>D157+D158</f>
        <v>500</v>
      </c>
      <c r="E156" s="43">
        <f>E157+E158</f>
        <v>0</v>
      </c>
      <c r="F156" s="43">
        <f>F157+F158</f>
        <v>500</v>
      </c>
      <c r="G156" s="43">
        <f>G157+G158</f>
        <v>500</v>
      </c>
      <c r="H156" s="43">
        <f>H157+H158</f>
        <v>500</v>
      </c>
      <c r="I156" s="26"/>
      <c r="J156" s="26"/>
    </row>
    <row r="157" spans="1:10" ht="47.25">
      <c r="A157" s="45" t="s">
        <v>453</v>
      </c>
      <c r="B157" s="42" t="s">
        <v>367</v>
      </c>
      <c r="C157" s="42" t="s">
        <v>8</v>
      </c>
      <c r="D157" s="43">
        <f>'2020-2022 год Приложение  4'!E109</f>
        <v>300</v>
      </c>
      <c r="E157" s="43">
        <f>'2020-2022 год Приложение  4'!F109</f>
        <v>0</v>
      </c>
      <c r="F157" s="43">
        <f>'2020-2022 год Приложение  4'!G109</f>
        <v>300</v>
      </c>
      <c r="G157" s="43">
        <f>'2020-2022 год Приложение  4'!H109</f>
        <v>300</v>
      </c>
      <c r="H157" s="43">
        <f>'2020-2022 год Приложение  4'!I109</f>
        <v>300</v>
      </c>
      <c r="I157" s="26"/>
      <c r="J157" s="26"/>
    </row>
    <row r="158" spans="1:10" ht="15.75">
      <c r="A158" s="85" t="s">
        <v>27</v>
      </c>
      <c r="B158" s="42" t="s">
        <v>367</v>
      </c>
      <c r="C158" s="42" t="s">
        <v>16</v>
      </c>
      <c r="D158" s="43">
        <f>'2020-2022 год Приложение  4'!E110</f>
        <v>200</v>
      </c>
      <c r="E158" s="43">
        <f>'2020-2022 год Приложение  4'!F110</f>
        <v>0</v>
      </c>
      <c r="F158" s="43">
        <f>'2020-2022 год Приложение  4'!G110</f>
        <v>200</v>
      </c>
      <c r="G158" s="43">
        <f>'2020-2022 год Приложение  4'!H110</f>
        <v>200</v>
      </c>
      <c r="H158" s="43">
        <f>'2020-2022 год Приложение  4'!I110</f>
        <v>200</v>
      </c>
      <c r="I158" s="26"/>
      <c r="J158" s="26"/>
    </row>
    <row r="159" spans="1:10" ht="94.5">
      <c r="A159" s="54" t="s">
        <v>194</v>
      </c>
      <c r="B159" s="42" t="s">
        <v>368</v>
      </c>
      <c r="C159" s="42"/>
      <c r="D159" s="43">
        <f>D160</f>
        <v>109</v>
      </c>
      <c r="E159" s="43">
        <f>E160</f>
        <v>0</v>
      </c>
      <c r="F159" s="43">
        <f>F160</f>
        <v>109</v>
      </c>
      <c r="G159" s="43">
        <f>G160</f>
        <v>114</v>
      </c>
      <c r="H159" s="43">
        <f>H160</f>
        <v>120</v>
      </c>
      <c r="I159" s="26"/>
      <c r="J159" s="26"/>
    </row>
    <row r="160" spans="1:10" ht="24.75" customHeight="1">
      <c r="A160" s="40" t="s">
        <v>27</v>
      </c>
      <c r="B160" s="42" t="s">
        <v>368</v>
      </c>
      <c r="C160" s="42" t="s">
        <v>16</v>
      </c>
      <c r="D160" s="43">
        <f>'2020-2022 год Приложение  4'!E416</f>
        <v>109</v>
      </c>
      <c r="E160" s="43">
        <f>'2020-2022 год Приложение  4'!F416</f>
        <v>0</v>
      </c>
      <c r="F160" s="43">
        <f>'2020-2022 год Приложение  4'!G416</f>
        <v>109</v>
      </c>
      <c r="G160" s="43">
        <f>'2020-2022 год Приложение  4'!H416</f>
        <v>114</v>
      </c>
      <c r="H160" s="43">
        <f>'2020-2022 год Приложение  4'!I416</f>
        <v>120</v>
      </c>
      <c r="I160" s="26"/>
      <c r="J160" s="26"/>
    </row>
    <row r="161" spans="1:10" ht="47.25">
      <c r="A161" s="40" t="s">
        <v>274</v>
      </c>
      <c r="B161" s="42" t="s">
        <v>369</v>
      </c>
      <c r="C161" s="42"/>
      <c r="D161" s="43">
        <f>D162</f>
        <v>8650.7</v>
      </c>
      <c r="E161" s="43">
        <f>E162</f>
        <v>0</v>
      </c>
      <c r="F161" s="43">
        <f>F162</f>
        <v>8650.7</v>
      </c>
      <c r="G161" s="43">
        <f>G162</f>
        <v>9431</v>
      </c>
      <c r="H161" s="43">
        <f>H162</f>
        <v>10333.3</v>
      </c>
      <c r="I161" s="26"/>
      <c r="J161" s="26"/>
    </row>
    <row r="162" spans="1:10" ht="31.5">
      <c r="A162" s="40" t="s">
        <v>10</v>
      </c>
      <c r="B162" s="42" t="s">
        <v>369</v>
      </c>
      <c r="C162" s="42" t="s">
        <v>11</v>
      </c>
      <c r="D162" s="43">
        <f>'2020-2022 год Приложение  4'!E418</f>
        <v>8650.7</v>
      </c>
      <c r="E162" s="43">
        <f>'2020-2022 год Приложение  4'!F418</f>
        <v>0</v>
      </c>
      <c r="F162" s="43">
        <f>'2020-2022 год Приложение  4'!G418</f>
        <v>8650.7</v>
      </c>
      <c r="G162" s="43">
        <f>'2020-2022 год Приложение  4'!H418</f>
        <v>9431</v>
      </c>
      <c r="H162" s="43">
        <f>'2020-2022 год Приложение  4'!I418</f>
        <v>10333.3</v>
      </c>
      <c r="I162" s="26"/>
      <c r="J162" s="26"/>
    </row>
    <row r="163" spans="1:10" ht="31.5">
      <c r="A163" s="40" t="s">
        <v>227</v>
      </c>
      <c r="B163" s="42" t="s">
        <v>122</v>
      </c>
      <c r="C163" s="42"/>
      <c r="D163" s="43">
        <f>D164</f>
        <v>3500.6</v>
      </c>
      <c r="E163" s="43">
        <f>E164</f>
        <v>0</v>
      </c>
      <c r="F163" s="43">
        <f>F164</f>
        <v>3500.6</v>
      </c>
      <c r="G163" s="43">
        <f>G164</f>
        <v>3500.6</v>
      </c>
      <c r="H163" s="43">
        <f>H164</f>
        <v>3500.6</v>
      </c>
      <c r="I163" s="26"/>
      <c r="J163" s="26"/>
    </row>
    <row r="164" spans="1:10" ht="31.5">
      <c r="A164" s="40" t="s">
        <v>10</v>
      </c>
      <c r="B164" s="42" t="s">
        <v>122</v>
      </c>
      <c r="C164" s="42" t="s">
        <v>11</v>
      </c>
      <c r="D164" s="43">
        <f>'2020-2022 год Приложение  4'!E420</f>
        <v>3500.6</v>
      </c>
      <c r="E164" s="43">
        <f>'2020-2022 год Приложение  4'!F420</f>
        <v>0</v>
      </c>
      <c r="F164" s="43">
        <f>'2020-2022 год Приложение  4'!G420</f>
        <v>3500.6</v>
      </c>
      <c r="G164" s="43">
        <f>'2020-2022 год Приложение  4'!H420</f>
        <v>3500.6</v>
      </c>
      <c r="H164" s="43">
        <f>'2020-2022 год Приложение  4'!I420</f>
        <v>3500.6</v>
      </c>
      <c r="I164" s="26"/>
      <c r="J164" s="26"/>
    </row>
    <row r="165" spans="1:10" ht="31.5">
      <c r="A165" s="40" t="s">
        <v>418</v>
      </c>
      <c r="B165" s="42" t="s">
        <v>419</v>
      </c>
      <c r="C165" s="42"/>
      <c r="D165" s="43">
        <f>D166</f>
        <v>1040.6</v>
      </c>
      <c r="E165" s="43">
        <f>E166</f>
        <v>0</v>
      </c>
      <c r="F165" s="43">
        <f>F166</f>
        <v>1040.6</v>
      </c>
      <c r="G165" s="43">
        <f>G166</f>
        <v>0</v>
      </c>
      <c r="H165" s="43">
        <f>H166</f>
        <v>0</v>
      </c>
      <c r="I165" s="26"/>
      <c r="J165" s="26"/>
    </row>
    <row r="166" spans="1:10" ht="31.5">
      <c r="A166" s="40" t="s">
        <v>10</v>
      </c>
      <c r="B166" s="42" t="s">
        <v>419</v>
      </c>
      <c r="C166" s="42" t="s">
        <v>11</v>
      </c>
      <c r="D166" s="43">
        <f>'2020-2022 год Приложение  4'!E422</f>
        <v>1040.6</v>
      </c>
      <c r="E166" s="43">
        <f>'2020-2022 год Приложение  4'!F422</f>
        <v>0</v>
      </c>
      <c r="F166" s="43">
        <f>'2020-2022 год Приложение  4'!G422</f>
        <v>1040.6</v>
      </c>
      <c r="G166" s="43">
        <f>'2020-2022 год Приложение  4'!H422</f>
        <v>0</v>
      </c>
      <c r="H166" s="43">
        <f>'2020-2022 год Приложение  4'!I422</f>
        <v>0</v>
      </c>
      <c r="I166" s="26"/>
      <c r="J166" s="26"/>
    </row>
    <row r="167" spans="1:10" ht="31.5">
      <c r="A167" s="41" t="s">
        <v>370</v>
      </c>
      <c r="B167" s="27" t="s">
        <v>371</v>
      </c>
      <c r="C167" s="27"/>
      <c r="D167" s="43">
        <f>D168</f>
        <v>50</v>
      </c>
      <c r="E167" s="43">
        <f>E168</f>
        <v>0</v>
      </c>
      <c r="F167" s="43">
        <f>F168</f>
        <v>50</v>
      </c>
      <c r="G167" s="43">
        <f>G168</f>
        <v>50</v>
      </c>
      <c r="H167" s="43">
        <f>H168</f>
        <v>50</v>
      </c>
      <c r="I167" s="26"/>
      <c r="J167" s="26"/>
    </row>
    <row r="168" spans="1:10" ht="47.25">
      <c r="A168" s="45" t="s">
        <v>453</v>
      </c>
      <c r="B168" s="27" t="s">
        <v>371</v>
      </c>
      <c r="C168" s="27" t="s">
        <v>8</v>
      </c>
      <c r="D168" s="43">
        <f>'2020-2022 год Приложение  4'!E112</f>
        <v>50</v>
      </c>
      <c r="E168" s="43">
        <f>'2020-2022 год Приложение  4'!F112</f>
        <v>0</v>
      </c>
      <c r="F168" s="43">
        <f>'2020-2022 год Приложение  4'!G112</f>
        <v>50</v>
      </c>
      <c r="G168" s="43">
        <f>'2020-2022 год Приложение  4'!H112</f>
        <v>50</v>
      </c>
      <c r="H168" s="43">
        <f>'2020-2022 год Приложение  4'!I112</f>
        <v>50</v>
      </c>
      <c r="I168" s="26"/>
      <c r="J168" s="26"/>
    </row>
    <row r="169" spans="1:10" ht="15.75">
      <c r="A169" s="40" t="s">
        <v>92</v>
      </c>
      <c r="B169" s="42" t="s">
        <v>123</v>
      </c>
      <c r="C169" s="42"/>
      <c r="D169" s="43">
        <f>'2020-2022 год Приложение  4'!E113</f>
        <v>150</v>
      </c>
      <c r="E169" s="43">
        <f>'2020-2022 год Приложение  4'!F113</f>
        <v>0</v>
      </c>
      <c r="F169" s="43">
        <f>'2020-2022 год Приложение  4'!G113</f>
        <v>150</v>
      </c>
      <c r="G169" s="43">
        <f>'2020-2022 год Приложение  4'!H113</f>
        <v>150</v>
      </c>
      <c r="H169" s="43">
        <f>'2020-2022 год Приложение  4'!I113</f>
        <v>150</v>
      </c>
      <c r="I169" s="26"/>
      <c r="J169" s="26"/>
    </row>
    <row r="170" spans="1:10" ht="63">
      <c r="A170" s="166" t="s">
        <v>14</v>
      </c>
      <c r="B170" s="42" t="s">
        <v>123</v>
      </c>
      <c r="C170" s="42" t="s">
        <v>15</v>
      </c>
      <c r="D170" s="43">
        <f>'2020-2022 год Приложение  4'!E114</f>
        <v>15</v>
      </c>
      <c r="E170" s="43">
        <f>'2020-2022 год Приложение  4'!F114</f>
        <v>0</v>
      </c>
      <c r="F170" s="43">
        <f>'2020-2022 год Приложение  4'!G114</f>
        <v>15</v>
      </c>
      <c r="G170" s="43">
        <f>'2020-2022 год Приложение  4'!H114</f>
        <v>15</v>
      </c>
      <c r="H170" s="43">
        <f>'2020-2022 год Приложение  4'!I114</f>
        <v>15</v>
      </c>
      <c r="I170" s="26"/>
      <c r="J170" s="26"/>
    </row>
    <row r="171" spans="1:10" ht="47.25">
      <c r="A171" s="45" t="s">
        <v>453</v>
      </c>
      <c r="B171" s="42" t="s">
        <v>123</v>
      </c>
      <c r="C171" s="42" t="s">
        <v>8</v>
      </c>
      <c r="D171" s="43">
        <f>'2020-2022 год Приложение  4'!E115</f>
        <v>135</v>
      </c>
      <c r="E171" s="43">
        <f>'2020-2022 год Приложение  4'!F115</f>
        <v>0</v>
      </c>
      <c r="F171" s="43">
        <f>'2020-2022 год Приложение  4'!G115</f>
        <v>135</v>
      </c>
      <c r="G171" s="43">
        <f>'2020-2022 год Приложение  4'!H115</f>
        <v>135</v>
      </c>
      <c r="H171" s="43">
        <f>'2020-2022 год Приложение  4'!I115</f>
        <v>135</v>
      </c>
      <c r="I171" s="26"/>
      <c r="J171" s="26"/>
    </row>
    <row r="172" spans="1:10" ht="31.5">
      <c r="A172" s="40" t="s">
        <v>93</v>
      </c>
      <c r="B172" s="42" t="s">
        <v>124</v>
      </c>
      <c r="C172" s="42"/>
      <c r="D172" s="43">
        <f>'2020-2022 год Приложение  4'!E116</f>
        <v>100</v>
      </c>
      <c r="E172" s="43">
        <f>'2020-2022 год Приложение  4'!F116</f>
        <v>0</v>
      </c>
      <c r="F172" s="43">
        <f>'2020-2022 год Приложение  4'!G116</f>
        <v>100</v>
      </c>
      <c r="G172" s="43">
        <f>'2020-2022 год Приложение  4'!H116</f>
        <v>100</v>
      </c>
      <c r="H172" s="43">
        <f>'2020-2022 год Приложение  4'!I116</f>
        <v>100</v>
      </c>
      <c r="I172" s="26"/>
      <c r="J172" s="26"/>
    </row>
    <row r="173" spans="1:10" ht="63">
      <c r="A173" s="166" t="s">
        <v>14</v>
      </c>
      <c r="B173" s="42" t="s">
        <v>124</v>
      </c>
      <c r="C173" s="42" t="s">
        <v>15</v>
      </c>
      <c r="D173" s="43">
        <f>'2020-2022 год Приложение  4'!E117</f>
        <v>25</v>
      </c>
      <c r="E173" s="43">
        <f>'2020-2022 год Приложение  4'!F117</f>
        <v>0</v>
      </c>
      <c r="F173" s="43">
        <f>'2020-2022 год Приложение  4'!G117</f>
        <v>25</v>
      </c>
      <c r="G173" s="43">
        <f>'2020-2022 год Приложение  4'!H117</f>
        <v>25</v>
      </c>
      <c r="H173" s="43">
        <f>'2020-2022 год Приложение  4'!I117</f>
        <v>25</v>
      </c>
      <c r="I173" s="26"/>
      <c r="J173" s="26"/>
    </row>
    <row r="174" spans="1:10" ht="47.25">
      <c r="A174" s="45" t="s">
        <v>453</v>
      </c>
      <c r="B174" s="42" t="s">
        <v>124</v>
      </c>
      <c r="C174" s="42" t="s">
        <v>8</v>
      </c>
      <c r="D174" s="43">
        <f>'2020-2022 год Приложение  4'!E118</f>
        <v>75</v>
      </c>
      <c r="E174" s="43">
        <f>'2020-2022 год Приложение  4'!F118</f>
        <v>0</v>
      </c>
      <c r="F174" s="43">
        <f>'2020-2022 год Приложение  4'!G118</f>
        <v>75</v>
      </c>
      <c r="G174" s="43">
        <f>'2020-2022 год Приложение  4'!H118</f>
        <v>75</v>
      </c>
      <c r="H174" s="43">
        <f>'2020-2022 год Приложение  4'!I118</f>
        <v>75</v>
      </c>
      <c r="I174" s="26"/>
      <c r="J174" s="26"/>
    </row>
    <row r="175" spans="1:11" ht="31.5">
      <c r="A175" s="10" t="s">
        <v>304</v>
      </c>
      <c r="B175" s="11" t="s">
        <v>125</v>
      </c>
      <c r="C175" s="11" t="s">
        <v>0</v>
      </c>
      <c r="D175" s="12">
        <f>D180+D176</f>
        <v>5363.900000000001</v>
      </c>
      <c r="E175" s="12">
        <f>E180+E176</f>
        <v>0</v>
      </c>
      <c r="F175" s="12">
        <f>F180+F176</f>
        <v>5363.900000000001</v>
      </c>
      <c r="G175" s="12">
        <f>G180+G176</f>
        <v>5363.900000000001</v>
      </c>
      <c r="H175" s="12">
        <f>H180+H176</f>
        <v>5363.900000000001</v>
      </c>
      <c r="I175" s="26"/>
      <c r="J175" s="26"/>
      <c r="K175" s="109"/>
    </row>
    <row r="176" spans="1:11" ht="15.75">
      <c r="A176" s="111" t="s">
        <v>264</v>
      </c>
      <c r="B176" s="112" t="s">
        <v>265</v>
      </c>
      <c r="C176" s="112"/>
      <c r="D176" s="113">
        <f>D178+D179+D177</f>
        <v>870.6000000000001</v>
      </c>
      <c r="E176" s="113">
        <f>E178+E179+E177</f>
        <v>0</v>
      </c>
      <c r="F176" s="113">
        <f>F178+F179+F177</f>
        <v>870.6000000000001</v>
      </c>
      <c r="G176" s="113">
        <f>G178+G179+G177</f>
        <v>870.6000000000001</v>
      </c>
      <c r="H176" s="113">
        <f>H178+H179+H177</f>
        <v>870.6000000000001</v>
      </c>
      <c r="I176" s="26"/>
      <c r="J176" s="26"/>
      <c r="K176" s="109"/>
    </row>
    <row r="177" spans="1:11" ht="63">
      <c r="A177" s="124" t="s">
        <v>14</v>
      </c>
      <c r="B177" s="125" t="s">
        <v>265</v>
      </c>
      <c r="C177" s="125" t="s">
        <v>15</v>
      </c>
      <c r="D177" s="113">
        <f>'2020-2022 год Приложение  4'!E425</f>
        <v>24.7</v>
      </c>
      <c r="E177" s="113">
        <f>'2020-2022 год Приложение  4'!F425</f>
        <v>0</v>
      </c>
      <c r="F177" s="113">
        <f>'2020-2022 год Приложение  4'!G425</f>
        <v>24.7</v>
      </c>
      <c r="G177" s="113">
        <f>'2020-2022 год Приложение  4'!H425</f>
        <v>24.7</v>
      </c>
      <c r="H177" s="113">
        <f>'2020-2022 год Приложение  4'!I425</f>
        <v>24.7</v>
      </c>
      <c r="I177" s="26"/>
      <c r="J177" s="26"/>
      <c r="K177" s="109"/>
    </row>
    <row r="178" spans="1:11" ht="31.5">
      <c r="A178" s="45" t="s">
        <v>459</v>
      </c>
      <c r="B178" s="42" t="s">
        <v>265</v>
      </c>
      <c r="C178" s="42" t="s">
        <v>8</v>
      </c>
      <c r="D178" s="113">
        <f>'2020-2022 год Приложение  4'!E426</f>
        <v>99.7</v>
      </c>
      <c r="E178" s="113">
        <f>'2020-2022 год Приложение  4'!F426</f>
        <v>0</v>
      </c>
      <c r="F178" s="113">
        <f>'2020-2022 год Приложение  4'!G426</f>
        <v>99.7</v>
      </c>
      <c r="G178" s="113">
        <f>'2020-2022 год Приложение  4'!H426</f>
        <v>99.7</v>
      </c>
      <c r="H178" s="113">
        <f>'2020-2022 год Приложение  4'!I426</f>
        <v>99.7</v>
      </c>
      <c r="I178" s="26"/>
      <c r="J178" s="26"/>
      <c r="K178" s="109"/>
    </row>
    <row r="179" spans="1:11" ht="31.5">
      <c r="A179" s="179" t="s">
        <v>10</v>
      </c>
      <c r="B179" s="42" t="s">
        <v>265</v>
      </c>
      <c r="C179" s="42" t="s">
        <v>11</v>
      </c>
      <c r="D179" s="113">
        <f>'2020-2022 год Приложение  4'!E427</f>
        <v>746.2</v>
      </c>
      <c r="E179" s="113">
        <f>'2020-2022 год Приложение  4'!F427</f>
        <v>0</v>
      </c>
      <c r="F179" s="113">
        <f>'2020-2022 год Приложение  4'!G427</f>
        <v>746.2</v>
      </c>
      <c r="G179" s="113">
        <f>'2020-2022 год Приложение  4'!H427</f>
        <v>746.2</v>
      </c>
      <c r="H179" s="113">
        <f>'2020-2022 год Приложение  4'!I427</f>
        <v>746.2</v>
      </c>
      <c r="I179" s="26"/>
      <c r="J179" s="26"/>
      <c r="K179" s="109"/>
    </row>
    <row r="180" spans="1:11" ht="31.5">
      <c r="A180" s="40" t="s">
        <v>185</v>
      </c>
      <c r="B180" s="42" t="s">
        <v>183</v>
      </c>
      <c r="C180" s="42"/>
      <c r="D180" s="43">
        <f>D183+D181+D182</f>
        <v>4493.3</v>
      </c>
      <c r="E180" s="43">
        <f>E183+E181+E182</f>
        <v>0</v>
      </c>
      <c r="F180" s="43">
        <f>F183+F181+F182</f>
        <v>4493.3</v>
      </c>
      <c r="G180" s="43">
        <f>G183+G181+G182</f>
        <v>4493.3</v>
      </c>
      <c r="H180" s="43">
        <f>H183+H181+H182</f>
        <v>4493.3</v>
      </c>
      <c r="I180" s="26"/>
      <c r="J180" s="26"/>
      <c r="K180" s="109"/>
    </row>
    <row r="181" spans="1:11" ht="63">
      <c r="A181" s="40" t="s">
        <v>14</v>
      </c>
      <c r="B181" s="42" t="s">
        <v>183</v>
      </c>
      <c r="C181" s="42" t="s">
        <v>15</v>
      </c>
      <c r="D181" s="43">
        <f>'2020-2022 год Приложение  4'!E429</f>
        <v>195.3</v>
      </c>
      <c r="E181" s="43">
        <f>'2020-2022 год Приложение  4'!F429</f>
        <v>-104</v>
      </c>
      <c r="F181" s="43">
        <f>'2020-2022 год Приложение  4'!G429</f>
        <v>91.30000000000001</v>
      </c>
      <c r="G181" s="43">
        <f>'2020-2022 год Приложение  4'!H429</f>
        <v>195.3</v>
      </c>
      <c r="H181" s="43">
        <f>'2020-2022 год Приложение  4'!I429</f>
        <v>195.3</v>
      </c>
      <c r="I181" s="26"/>
      <c r="J181" s="26"/>
      <c r="K181" s="109"/>
    </row>
    <row r="182" spans="1:11" ht="31.5">
      <c r="A182" s="40" t="s">
        <v>459</v>
      </c>
      <c r="B182" s="42" t="s">
        <v>183</v>
      </c>
      <c r="C182" s="42" t="s">
        <v>8</v>
      </c>
      <c r="D182" s="43">
        <f>'2020-2022 год Приложение  4'!E430</f>
        <v>0</v>
      </c>
      <c r="E182" s="43">
        <f>'2020-2022 год Приложение  4'!F430</f>
        <v>104</v>
      </c>
      <c r="F182" s="43">
        <f>'2020-2022 год Приложение  4'!G430</f>
        <v>104</v>
      </c>
      <c r="G182" s="43">
        <f>'2020-2022 год Приложение  4'!H430</f>
        <v>0</v>
      </c>
      <c r="H182" s="43">
        <f>'2020-2022 год Приложение  4'!I430</f>
        <v>0</v>
      </c>
      <c r="I182" s="26"/>
      <c r="J182" s="26"/>
      <c r="K182" s="109"/>
    </row>
    <row r="183" spans="1:10" ht="31.5">
      <c r="A183" s="61" t="s">
        <v>10</v>
      </c>
      <c r="B183" s="42" t="s">
        <v>183</v>
      </c>
      <c r="C183" s="42" t="s">
        <v>11</v>
      </c>
      <c r="D183" s="43">
        <f>'2020-2022 год Приложение  4'!E431</f>
        <v>4298</v>
      </c>
      <c r="E183" s="43">
        <f>'2020-2022 год Приложение  4'!F431</f>
        <v>0</v>
      </c>
      <c r="F183" s="43">
        <f>'2020-2022 год Приложение  4'!G431</f>
        <v>4298</v>
      </c>
      <c r="G183" s="43">
        <f>'2020-2022 год Приложение  4'!H431</f>
        <v>4298</v>
      </c>
      <c r="H183" s="43">
        <f>'2020-2022 год Приложение  4'!I431</f>
        <v>4298</v>
      </c>
      <c r="I183" s="26"/>
      <c r="J183" s="26"/>
    </row>
    <row r="184" spans="1:10" ht="31.5">
      <c r="A184" s="10" t="s">
        <v>67</v>
      </c>
      <c r="B184" s="11" t="s">
        <v>118</v>
      </c>
      <c r="C184" s="11" t="s">
        <v>0</v>
      </c>
      <c r="D184" s="12">
        <f>D185+D193+D189</f>
        <v>78228.8</v>
      </c>
      <c r="E184" s="12">
        <f>E185+E193+E189</f>
        <v>0</v>
      </c>
      <c r="F184" s="12">
        <f>F185+F193+F189</f>
        <v>78228.8</v>
      </c>
      <c r="G184" s="12">
        <f>G185+G193+G189</f>
        <v>76047</v>
      </c>
      <c r="H184" s="12">
        <f>H185+H193+H189</f>
        <v>76705.4</v>
      </c>
      <c r="I184" s="26"/>
      <c r="J184" s="26"/>
    </row>
    <row r="185" spans="1:10" ht="31.5">
      <c r="A185" s="40" t="s">
        <v>13</v>
      </c>
      <c r="B185" s="42" t="s">
        <v>119</v>
      </c>
      <c r="C185" s="42"/>
      <c r="D185" s="43">
        <f>D186+D187+D188</f>
        <v>35890.7</v>
      </c>
      <c r="E185" s="43">
        <f>E186+E187+E188</f>
        <v>0</v>
      </c>
      <c r="F185" s="43">
        <f>F186+F187+F188</f>
        <v>35890.7</v>
      </c>
      <c r="G185" s="43">
        <f>G186+G187+G188</f>
        <v>33949.3</v>
      </c>
      <c r="H185" s="43">
        <f>H186+H187+H188</f>
        <v>34038.9</v>
      </c>
      <c r="I185" s="26"/>
      <c r="J185" s="26"/>
    </row>
    <row r="186" spans="1:10" ht="63">
      <c r="A186" s="40" t="s">
        <v>14</v>
      </c>
      <c r="B186" s="42" t="s">
        <v>119</v>
      </c>
      <c r="C186" s="42" t="s">
        <v>15</v>
      </c>
      <c r="D186" s="43">
        <f>'2020-2022 год Приложение  4'!E434</f>
        <v>27711.5</v>
      </c>
      <c r="E186" s="43">
        <f>'2020-2022 год Приложение  4'!F434</f>
        <v>0</v>
      </c>
      <c r="F186" s="43">
        <f>'2020-2022 год Приложение  4'!G434</f>
        <v>27711.5</v>
      </c>
      <c r="G186" s="43">
        <f>'2020-2022 год Приложение  4'!H434</f>
        <v>27728</v>
      </c>
      <c r="H186" s="43">
        <f>'2020-2022 год Приложение  4'!I434</f>
        <v>27676.2</v>
      </c>
      <c r="I186" s="26"/>
      <c r="J186" s="26"/>
    </row>
    <row r="187" spans="1:10" ht="47.25">
      <c r="A187" s="45" t="s">
        <v>453</v>
      </c>
      <c r="B187" s="42" t="s">
        <v>119</v>
      </c>
      <c r="C187" s="42" t="s">
        <v>8</v>
      </c>
      <c r="D187" s="43">
        <f>'2020-2022 год Приложение  4'!E435</f>
        <v>7960.7</v>
      </c>
      <c r="E187" s="43">
        <f>'2020-2022 год Приложение  4'!F435</f>
        <v>0</v>
      </c>
      <c r="F187" s="43">
        <f>'2020-2022 год Приложение  4'!G435</f>
        <v>7960.7</v>
      </c>
      <c r="G187" s="43">
        <f>'2020-2022 год Приложение  4'!H435</f>
        <v>6002.8</v>
      </c>
      <c r="H187" s="43">
        <f>'2020-2022 год Приложение  4'!I435</f>
        <v>6144.2</v>
      </c>
      <c r="I187" s="26"/>
      <c r="J187" s="26"/>
    </row>
    <row r="188" spans="1:10" ht="15.75">
      <c r="A188" s="45" t="s">
        <v>9</v>
      </c>
      <c r="B188" s="42" t="s">
        <v>119</v>
      </c>
      <c r="C188" s="42" t="s">
        <v>12</v>
      </c>
      <c r="D188" s="43">
        <f>'2020-2022 год Приложение  4'!E436</f>
        <v>218.5</v>
      </c>
      <c r="E188" s="43">
        <f>'2020-2022 год Приложение  4'!F436</f>
        <v>0</v>
      </c>
      <c r="F188" s="43">
        <f>'2020-2022 год Приложение  4'!G436</f>
        <v>218.5</v>
      </c>
      <c r="G188" s="43">
        <f>'2020-2022 год Приложение  4'!H436</f>
        <v>218.5</v>
      </c>
      <c r="H188" s="43">
        <f>'2020-2022 год Приложение  4'!I436</f>
        <v>218.5</v>
      </c>
      <c r="I188" s="26"/>
      <c r="J188" s="26"/>
    </row>
    <row r="189" spans="1:10" ht="60.75" customHeight="1">
      <c r="A189" s="45" t="s">
        <v>259</v>
      </c>
      <c r="B189" s="42" t="s">
        <v>324</v>
      </c>
      <c r="C189" s="42"/>
      <c r="D189" s="43">
        <f>'2020-2022 год Приложение  4'!E437</f>
        <v>7782.6</v>
      </c>
      <c r="E189" s="43">
        <f>'2020-2022 год Приложение  4'!F437</f>
        <v>0</v>
      </c>
      <c r="F189" s="43">
        <f>'2020-2022 год Приложение  4'!G437</f>
        <v>7782.6</v>
      </c>
      <c r="G189" s="43">
        <f>'2020-2022 год Приложение  4'!H437</f>
        <v>8023.200000000001</v>
      </c>
      <c r="H189" s="43">
        <f>'2020-2022 год Приложение  4'!I437</f>
        <v>8329</v>
      </c>
      <c r="I189" s="26"/>
      <c r="J189" s="26"/>
    </row>
    <row r="190" spans="1:10" ht="63">
      <c r="A190" s="40" t="s">
        <v>14</v>
      </c>
      <c r="B190" s="42" t="s">
        <v>324</v>
      </c>
      <c r="C190" s="42" t="s">
        <v>15</v>
      </c>
      <c r="D190" s="43">
        <f>'2020-2022 год Приложение  4'!E438</f>
        <v>6460.400000000001</v>
      </c>
      <c r="E190" s="43">
        <f>'2020-2022 год Приложение  4'!F438</f>
        <v>0</v>
      </c>
      <c r="F190" s="43">
        <f>'2020-2022 год Приложение  4'!G438</f>
        <v>6460.400000000001</v>
      </c>
      <c r="G190" s="43">
        <f>'2020-2022 год Приложение  4'!H438</f>
        <v>6624.8</v>
      </c>
      <c r="H190" s="43">
        <f>'2020-2022 год Приложение  4'!I438</f>
        <v>6623.3</v>
      </c>
      <c r="I190" s="26"/>
      <c r="J190" s="26"/>
    </row>
    <row r="191" spans="1:10" ht="47.25">
      <c r="A191" s="45" t="s">
        <v>453</v>
      </c>
      <c r="B191" s="42" t="s">
        <v>324</v>
      </c>
      <c r="C191" s="42" t="s">
        <v>8</v>
      </c>
      <c r="D191" s="43">
        <f>'2020-2022 год Приложение  4'!E439</f>
        <v>1302.1</v>
      </c>
      <c r="E191" s="43">
        <f>'2020-2022 год Приложение  4'!F439</f>
        <v>0</v>
      </c>
      <c r="F191" s="43">
        <f>'2020-2022 год Приложение  4'!G439</f>
        <v>1302.1</v>
      </c>
      <c r="G191" s="43">
        <f>'2020-2022 год Приложение  4'!H439</f>
        <v>1378.3</v>
      </c>
      <c r="H191" s="43">
        <f>'2020-2022 год Приложение  4'!I439</f>
        <v>1685.6</v>
      </c>
      <c r="I191" s="26"/>
      <c r="J191" s="26"/>
    </row>
    <row r="192" spans="1:10" ht="15.75">
      <c r="A192" s="40" t="s">
        <v>27</v>
      </c>
      <c r="B192" s="42" t="s">
        <v>324</v>
      </c>
      <c r="C192" s="42" t="s">
        <v>16</v>
      </c>
      <c r="D192" s="43">
        <f>'2020-2022 год Приложение  4'!E440</f>
        <v>20.1</v>
      </c>
      <c r="E192" s="43">
        <f>'2020-2022 год Приложение  4'!F440</f>
        <v>0</v>
      </c>
      <c r="F192" s="43">
        <f>'2020-2022 год Приложение  4'!G440</f>
        <v>20.1</v>
      </c>
      <c r="G192" s="43">
        <f>'2020-2022 год Приложение  4'!H440</f>
        <v>20.1</v>
      </c>
      <c r="H192" s="43">
        <f>'2020-2022 год Приложение  4'!I440</f>
        <v>20.1</v>
      </c>
      <c r="I192" s="26"/>
      <c r="J192" s="26"/>
    </row>
    <row r="193" spans="1:10" ht="31.5">
      <c r="A193" s="40" t="s">
        <v>53</v>
      </c>
      <c r="B193" s="42" t="s">
        <v>120</v>
      </c>
      <c r="C193" s="42"/>
      <c r="D193" s="43">
        <f>D194+D195</f>
        <v>34555.5</v>
      </c>
      <c r="E193" s="43">
        <f>E194+E195</f>
        <v>0</v>
      </c>
      <c r="F193" s="43">
        <f>F194+F195</f>
        <v>34555.5</v>
      </c>
      <c r="G193" s="43">
        <f>G194+G195</f>
        <v>34074.5</v>
      </c>
      <c r="H193" s="43">
        <f>H194+H195</f>
        <v>34337.5</v>
      </c>
      <c r="I193" s="26"/>
      <c r="J193" s="26"/>
    </row>
    <row r="194" spans="1:10" ht="63">
      <c r="A194" s="40" t="s">
        <v>14</v>
      </c>
      <c r="B194" s="42" t="s">
        <v>120</v>
      </c>
      <c r="C194" s="42" t="s">
        <v>15</v>
      </c>
      <c r="D194" s="43">
        <f>'2020-2022 год Приложение  4'!E442</f>
        <v>33216.8</v>
      </c>
      <c r="E194" s="43">
        <f>'2020-2022 год Приложение  4'!F442</f>
        <v>0</v>
      </c>
      <c r="F194" s="43">
        <f>'2020-2022 год Приложение  4'!G442</f>
        <v>33216.8</v>
      </c>
      <c r="G194" s="43">
        <f>'2020-2022 год Приложение  4'!H442</f>
        <v>33235.7</v>
      </c>
      <c r="H194" s="43">
        <f>'2020-2022 год Приложение  4'!I442</f>
        <v>33218.4</v>
      </c>
      <c r="I194" s="26"/>
      <c r="J194" s="26"/>
    </row>
    <row r="195" spans="1:10" ht="47.25">
      <c r="A195" s="45" t="s">
        <v>453</v>
      </c>
      <c r="B195" s="42" t="s">
        <v>120</v>
      </c>
      <c r="C195" s="42" t="s">
        <v>8</v>
      </c>
      <c r="D195" s="43">
        <f>'2020-2022 год Приложение  4'!E443</f>
        <v>1338.7</v>
      </c>
      <c r="E195" s="43">
        <f>'2020-2022 год Приложение  4'!F443</f>
        <v>0</v>
      </c>
      <c r="F195" s="43">
        <f>'2020-2022 год Приложение  4'!G443</f>
        <v>1338.7</v>
      </c>
      <c r="G195" s="43">
        <f>'2020-2022 год Приложение  4'!H443</f>
        <v>838.8</v>
      </c>
      <c r="H195" s="43">
        <f>'2020-2022 год Приложение  4'!I443</f>
        <v>1119.1</v>
      </c>
      <c r="I195" s="26"/>
      <c r="J195" s="26"/>
    </row>
    <row r="196" spans="1:10" ht="15.75">
      <c r="A196" s="29" t="s">
        <v>321</v>
      </c>
      <c r="B196" s="30" t="s">
        <v>131</v>
      </c>
      <c r="C196" s="30" t="s">
        <v>0</v>
      </c>
      <c r="D196" s="31">
        <f>D197+D199+D201+D203+D205+D207+D209+D211+D213+D215+D217+D219+D221+D223+D225+D227+D229+D231+D233+D235+D237+D239+D241+D245</f>
        <v>174441.80000000002</v>
      </c>
      <c r="E196" s="31">
        <f>E197+E199+E201+E203+E205+E207+E209+E211+E213+E215+E217+E219+E221+E223+E225+E227+E229+E231+E233+E235+E237+E239+E241+E245</f>
        <v>4250</v>
      </c>
      <c r="F196" s="31">
        <f>F197+F199+F201+F203+F205+F207+F209+F211+F213+F215+F217+F219+F221+F223+F225+F227+F229+F231+F233+F235+F237+F239+F241+F245</f>
        <v>178691.80000000002</v>
      </c>
      <c r="G196" s="31">
        <f>G197+G199+G201+G203+G205+G207+G209+G211+G213+G215+G217+G219+G221+G223+G225+G227+G229+G231+G233+G235+G237+G239+G241+G245</f>
        <v>168307.9</v>
      </c>
      <c r="H196" s="31">
        <f>H197+H199+H201+H203+H205+H207+H209+H211+H213+H215+H217+H219+H221+H223+H225+H227+H229+H231+H233+H235+H237+H239+H241+H245</f>
        <v>176949.7</v>
      </c>
      <c r="I196" s="26"/>
      <c r="J196" s="26"/>
    </row>
    <row r="197" spans="1:10" ht="31.5">
      <c r="A197" s="40" t="s">
        <v>49</v>
      </c>
      <c r="B197" s="42" t="s">
        <v>130</v>
      </c>
      <c r="C197" s="42"/>
      <c r="D197" s="20">
        <f>'2020-2022 год Приложение  4'!E271</f>
        <v>12132.1</v>
      </c>
      <c r="E197" s="20">
        <f>'2020-2022 год Приложение  4'!F271</f>
        <v>0</v>
      </c>
      <c r="F197" s="20">
        <f>'2020-2022 год Приложение  4'!G271</f>
        <v>12132.1</v>
      </c>
      <c r="G197" s="20">
        <f>'2020-2022 год Приложение  4'!H271</f>
        <v>15237.7</v>
      </c>
      <c r="H197" s="20">
        <f>'2020-2022 год Приложение  4'!I271</f>
        <v>15730.900000000003</v>
      </c>
      <c r="I197" s="26"/>
      <c r="J197" s="26"/>
    </row>
    <row r="198" spans="1:10" ht="31.5">
      <c r="A198" s="22" t="s">
        <v>10</v>
      </c>
      <c r="B198" s="42" t="s">
        <v>130</v>
      </c>
      <c r="C198" s="42" t="s">
        <v>11</v>
      </c>
      <c r="D198" s="20">
        <f>'2020-2022 год Приложение  4'!E272</f>
        <v>12132.1</v>
      </c>
      <c r="E198" s="20">
        <f>'2020-2022 год Приложение  4'!F272</f>
        <v>0</v>
      </c>
      <c r="F198" s="20">
        <f>'2020-2022 год Приложение  4'!G272</f>
        <v>12132.1</v>
      </c>
      <c r="G198" s="20">
        <f>'2020-2022 год Приложение  4'!H272</f>
        <v>15237.7</v>
      </c>
      <c r="H198" s="20">
        <f>'2020-2022 год Приложение  4'!I272</f>
        <v>15730.900000000003</v>
      </c>
      <c r="I198" s="26"/>
      <c r="J198" s="26"/>
    </row>
    <row r="199" spans="1:10" ht="47.25">
      <c r="A199" s="22" t="s">
        <v>285</v>
      </c>
      <c r="B199" s="42" t="s">
        <v>284</v>
      </c>
      <c r="C199" s="42"/>
      <c r="D199" s="20">
        <f>'2020-2022 год Приложение  4'!E273</f>
        <v>5030.7</v>
      </c>
      <c r="E199" s="20">
        <f>'2020-2022 год Приложение  4'!F273</f>
        <v>0</v>
      </c>
      <c r="F199" s="20">
        <f>'2020-2022 год Приложение  4'!G273</f>
        <v>5030.7</v>
      </c>
      <c r="G199" s="20">
        <f>'2020-2022 год Приложение  4'!H273</f>
        <v>5503.7</v>
      </c>
      <c r="H199" s="20">
        <f>'2020-2022 год Приложение  4'!I273</f>
        <v>5994.9</v>
      </c>
      <c r="I199" s="26"/>
      <c r="J199" s="26"/>
    </row>
    <row r="200" spans="1:10" ht="15.75">
      <c r="A200" s="115" t="s">
        <v>42</v>
      </c>
      <c r="B200" s="42" t="s">
        <v>284</v>
      </c>
      <c r="C200" s="42" t="s">
        <v>43</v>
      </c>
      <c r="D200" s="20">
        <f>'2020-2022 год Приложение  4'!E274</f>
        <v>5030.7</v>
      </c>
      <c r="E200" s="20">
        <f>'2020-2022 год Приложение  4'!F274</f>
        <v>0</v>
      </c>
      <c r="F200" s="20">
        <f>'2020-2022 год Приложение  4'!G274</f>
        <v>5030.7</v>
      </c>
      <c r="G200" s="20">
        <f>'2020-2022 год Приложение  4'!H274</f>
        <v>5503.7</v>
      </c>
      <c r="H200" s="20">
        <f>'2020-2022 год Приложение  4'!I274</f>
        <v>5994.9</v>
      </c>
      <c r="I200" s="26"/>
      <c r="J200" s="26"/>
    </row>
    <row r="201" spans="1:10" ht="63">
      <c r="A201" s="22" t="s">
        <v>267</v>
      </c>
      <c r="B201" s="42" t="s">
        <v>266</v>
      </c>
      <c r="C201" s="42"/>
      <c r="D201" s="20">
        <f>D202</f>
        <v>15951.2</v>
      </c>
      <c r="E201" s="20">
        <f>E202</f>
        <v>0</v>
      </c>
      <c r="F201" s="20">
        <f>F202</f>
        <v>15951.2</v>
      </c>
      <c r="G201" s="20">
        <f>G202</f>
        <v>17450.2</v>
      </c>
      <c r="H201" s="20">
        <f>H202</f>
        <v>19008.2</v>
      </c>
      <c r="I201" s="26"/>
      <c r="J201" s="26"/>
    </row>
    <row r="202" spans="1:10" ht="31.5">
      <c r="A202" s="22" t="s">
        <v>10</v>
      </c>
      <c r="B202" s="42" t="s">
        <v>266</v>
      </c>
      <c r="C202" s="42" t="s">
        <v>11</v>
      </c>
      <c r="D202" s="20">
        <f>'2020-2022 год Приложение  4'!E276</f>
        <v>15951.2</v>
      </c>
      <c r="E202" s="20">
        <f>'2020-2022 год Приложение  4'!F276</f>
        <v>0</v>
      </c>
      <c r="F202" s="20">
        <f>'2020-2022 год Приложение  4'!G276</f>
        <v>15951.2</v>
      </c>
      <c r="G202" s="20">
        <f>'2020-2022 год Приложение  4'!H276</f>
        <v>17450.2</v>
      </c>
      <c r="H202" s="20">
        <f>'2020-2022 год Приложение  4'!I276</f>
        <v>19008.2</v>
      </c>
      <c r="I202" s="26"/>
      <c r="J202" s="26"/>
    </row>
    <row r="203" spans="1:10" ht="31.5">
      <c r="A203" s="22" t="s">
        <v>261</v>
      </c>
      <c r="B203" s="42" t="s">
        <v>260</v>
      </c>
      <c r="C203" s="42"/>
      <c r="D203" s="20">
        <f>'2020-2022 год Приложение  4'!E277</f>
        <v>44.1</v>
      </c>
      <c r="E203" s="20">
        <f>'2020-2022 год Приложение  4'!F277</f>
        <v>0</v>
      </c>
      <c r="F203" s="20">
        <f>'2020-2022 год Приложение  4'!G277</f>
        <v>44.1</v>
      </c>
      <c r="G203" s="20">
        <f>'2020-2022 год Приложение  4'!H277</f>
        <v>44.1</v>
      </c>
      <c r="H203" s="20">
        <f>'2020-2022 год Приложение  4'!I277</f>
        <v>44.1</v>
      </c>
      <c r="I203" s="26"/>
      <c r="J203" s="26"/>
    </row>
    <row r="204" spans="1:10" ht="31.5">
      <c r="A204" s="22" t="s">
        <v>10</v>
      </c>
      <c r="B204" s="42" t="s">
        <v>260</v>
      </c>
      <c r="C204" s="42" t="s">
        <v>11</v>
      </c>
      <c r="D204" s="20">
        <f>'2020-2022 год Приложение  4'!E278</f>
        <v>44.1</v>
      </c>
      <c r="E204" s="20">
        <f>'2020-2022 год Приложение  4'!F278</f>
        <v>0</v>
      </c>
      <c r="F204" s="20">
        <f>'2020-2022 год Приложение  4'!G278</f>
        <v>44.1</v>
      </c>
      <c r="G204" s="20">
        <f>'2020-2022 год Приложение  4'!H278</f>
        <v>44.1</v>
      </c>
      <c r="H204" s="20">
        <f>'2020-2022 год Приложение  4'!I278</f>
        <v>44.1</v>
      </c>
      <c r="I204" s="26"/>
      <c r="J204" s="26"/>
    </row>
    <row r="205" spans="1:10" ht="15.75">
      <c r="A205" s="22" t="s">
        <v>391</v>
      </c>
      <c r="B205" s="42" t="s">
        <v>392</v>
      </c>
      <c r="C205" s="42"/>
      <c r="D205" s="20">
        <f>'2020-2022 год Приложение  4'!E279</f>
        <v>746.3</v>
      </c>
      <c r="E205" s="20">
        <f>'2020-2022 год Приложение  4'!F279</f>
        <v>4250</v>
      </c>
      <c r="F205" s="20">
        <f>'2020-2022 год Приложение  4'!G279</f>
        <v>4996.3</v>
      </c>
      <c r="G205" s="20">
        <f>'2020-2022 год Приложение  4'!H279</f>
        <v>0</v>
      </c>
      <c r="H205" s="20">
        <f>'2020-2022 год Приложение  4'!I279</f>
        <v>0</v>
      </c>
      <c r="I205" s="26"/>
      <c r="J205" s="26"/>
    </row>
    <row r="206" spans="1:10" ht="31.5">
      <c r="A206" s="22" t="s">
        <v>10</v>
      </c>
      <c r="B206" s="42" t="s">
        <v>392</v>
      </c>
      <c r="C206" s="42" t="s">
        <v>11</v>
      </c>
      <c r="D206" s="20">
        <f>'2020-2022 год Приложение  4'!E280</f>
        <v>746.3</v>
      </c>
      <c r="E206" s="20">
        <f>'2020-2022 год Приложение  4'!F280</f>
        <v>4250</v>
      </c>
      <c r="F206" s="20">
        <f>'2020-2022 год Приложение  4'!G280</f>
        <v>4996.3</v>
      </c>
      <c r="G206" s="20">
        <f>'2020-2022 год Приложение  4'!H280</f>
        <v>0</v>
      </c>
      <c r="H206" s="20">
        <f>'2020-2022 год Приложение  4'!I280</f>
        <v>0</v>
      </c>
      <c r="I206" s="26"/>
      <c r="J206" s="26"/>
    </row>
    <row r="207" spans="1:10" ht="15.75">
      <c r="A207" s="22" t="s">
        <v>391</v>
      </c>
      <c r="B207" s="42" t="s">
        <v>431</v>
      </c>
      <c r="C207" s="42"/>
      <c r="D207" s="20">
        <f>'2020-2022 год Приложение  4'!E281</f>
        <v>36.7</v>
      </c>
      <c r="E207" s="20">
        <f>'2020-2022 год Приложение  4'!F281</f>
        <v>0</v>
      </c>
      <c r="F207" s="20">
        <f>'2020-2022 год Приложение  4'!G281</f>
        <v>36.7</v>
      </c>
      <c r="G207" s="20">
        <f>'2020-2022 год Приложение  4'!H281</f>
        <v>0</v>
      </c>
      <c r="H207" s="20">
        <f>'2020-2022 год Приложение  4'!I281</f>
        <v>0</v>
      </c>
      <c r="I207" s="26"/>
      <c r="J207" s="26"/>
    </row>
    <row r="208" spans="1:10" ht="31.5">
      <c r="A208" s="22" t="s">
        <v>10</v>
      </c>
      <c r="B208" s="42" t="s">
        <v>431</v>
      </c>
      <c r="C208" s="42" t="s">
        <v>11</v>
      </c>
      <c r="D208" s="20">
        <f>'2020-2022 год Приложение  4'!E282</f>
        <v>36.7</v>
      </c>
      <c r="E208" s="20">
        <f>'2020-2022 год Приложение  4'!F282</f>
        <v>0</v>
      </c>
      <c r="F208" s="20">
        <f>'2020-2022 год Приложение  4'!G282</f>
        <v>36.7</v>
      </c>
      <c r="G208" s="20">
        <f>'2020-2022 год Приложение  4'!H282</f>
        <v>0</v>
      </c>
      <c r="H208" s="20">
        <f>'2020-2022 год Приложение  4'!I282</f>
        <v>0</v>
      </c>
      <c r="I208" s="26"/>
      <c r="J208" s="26"/>
    </row>
    <row r="209" spans="1:10" ht="31.5">
      <c r="A209" s="22" t="s">
        <v>249</v>
      </c>
      <c r="B209" s="42" t="s">
        <v>253</v>
      </c>
      <c r="C209" s="42"/>
      <c r="D209" s="20">
        <f>D210</f>
        <v>1484.1</v>
      </c>
      <c r="E209" s="20">
        <f>E210</f>
        <v>0</v>
      </c>
      <c r="F209" s="20">
        <f>F210</f>
        <v>1484.1</v>
      </c>
      <c r="G209" s="20">
        <f>G210</f>
        <v>0</v>
      </c>
      <c r="H209" s="20">
        <f>H210</f>
        <v>0</v>
      </c>
      <c r="I209" s="26"/>
      <c r="J209" s="26"/>
    </row>
    <row r="210" spans="1:10" ht="31.5">
      <c r="A210" s="22" t="s">
        <v>10</v>
      </c>
      <c r="B210" s="42" t="s">
        <v>253</v>
      </c>
      <c r="C210" s="42" t="s">
        <v>11</v>
      </c>
      <c r="D210" s="20">
        <f>'2020-2022 год Приложение  4'!E284</f>
        <v>1484.1</v>
      </c>
      <c r="E210" s="20">
        <f>'2020-2022 год Приложение  4'!F284</f>
        <v>0</v>
      </c>
      <c r="F210" s="20">
        <f>'2020-2022 год Приложение  4'!G284</f>
        <v>1484.1</v>
      </c>
      <c r="G210" s="20">
        <f>'2020-2022 год Приложение  4'!H284</f>
        <v>0</v>
      </c>
      <c r="H210" s="20">
        <f>'2020-2022 год Приложение  4'!I284</f>
        <v>0</v>
      </c>
      <c r="I210" s="26"/>
      <c r="J210" s="26"/>
    </row>
    <row r="211" spans="1:10" ht="15.75">
      <c r="A211" s="22" t="s">
        <v>196</v>
      </c>
      <c r="B211" s="42" t="s">
        <v>197</v>
      </c>
      <c r="C211" s="42"/>
      <c r="D211" s="20">
        <f>'2020-2022 год Приложение  4'!E285</f>
        <v>18.7</v>
      </c>
      <c r="E211" s="20">
        <f>'2020-2022 год Приложение  4'!F285</f>
        <v>0</v>
      </c>
      <c r="F211" s="20">
        <f>'2020-2022 год Приложение  4'!G285</f>
        <v>18.7</v>
      </c>
      <c r="G211" s="20">
        <f>'2020-2022 год Приложение  4'!H285</f>
        <v>0</v>
      </c>
      <c r="H211" s="20">
        <f>'2020-2022 год Приложение  4'!I285</f>
        <v>0</v>
      </c>
      <c r="I211" s="26"/>
      <c r="J211" s="26"/>
    </row>
    <row r="212" spans="1:12" ht="31.5">
      <c r="A212" s="22" t="s">
        <v>10</v>
      </c>
      <c r="B212" s="42" t="s">
        <v>197</v>
      </c>
      <c r="C212" s="42" t="s">
        <v>11</v>
      </c>
      <c r="D212" s="20">
        <f>'2020-2022 год Приложение  4'!E286</f>
        <v>18.7</v>
      </c>
      <c r="E212" s="20">
        <f>'2020-2022 год Приложение  4'!F286</f>
        <v>0</v>
      </c>
      <c r="F212" s="20">
        <f>'2020-2022 год Приложение  4'!G286</f>
        <v>18.7</v>
      </c>
      <c r="G212" s="20">
        <f>'2020-2022 год Приложение  4'!H286</f>
        <v>0</v>
      </c>
      <c r="H212" s="20">
        <f>'2020-2022 год Приложение  4'!I286</f>
        <v>0</v>
      </c>
      <c r="I212" s="26"/>
      <c r="J212" s="26"/>
      <c r="K212" s="26"/>
      <c r="L212" s="26"/>
    </row>
    <row r="213" spans="1:12" ht="31.5">
      <c r="A213" s="22" t="s">
        <v>249</v>
      </c>
      <c r="B213" s="42" t="s">
        <v>390</v>
      </c>
      <c r="C213" s="42"/>
      <c r="D213" s="20">
        <f>'2020-2022 год Приложение  4'!E287</f>
        <v>819.6</v>
      </c>
      <c r="E213" s="20">
        <f>'2020-2022 год Приложение  4'!F287</f>
        <v>0</v>
      </c>
      <c r="F213" s="20">
        <f>'2020-2022 год Приложение  4'!G287</f>
        <v>819.6</v>
      </c>
      <c r="G213" s="20">
        <f>'2020-2022 год Приложение  4'!H287</f>
        <v>0</v>
      </c>
      <c r="H213" s="20">
        <f>'2020-2022 год Приложение  4'!I287</f>
        <v>0</v>
      </c>
      <c r="I213" s="26"/>
      <c r="J213" s="26"/>
      <c r="K213" s="26"/>
      <c r="L213" s="26"/>
    </row>
    <row r="214" spans="1:12" ht="31.5">
      <c r="A214" s="22" t="s">
        <v>10</v>
      </c>
      <c r="B214" s="42" t="s">
        <v>390</v>
      </c>
      <c r="C214" s="42" t="s">
        <v>11</v>
      </c>
      <c r="D214" s="20">
        <f>'2020-2022 год Приложение  4'!E288</f>
        <v>819.6</v>
      </c>
      <c r="E214" s="20">
        <f>'2020-2022 год Приложение  4'!F288</f>
        <v>0</v>
      </c>
      <c r="F214" s="20">
        <f>'2020-2022 год Приложение  4'!G288</f>
        <v>819.6</v>
      </c>
      <c r="G214" s="20">
        <f>'2020-2022 год Приложение  4'!H288</f>
        <v>0</v>
      </c>
      <c r="H214" s="20">
        <f>'2020-2022 год Приложение  4'!I288</f>
        <v>0</v>
      </c>
      <c r="I214" s="26"/>
      <c r="J214" s="26"/>
      <c r="K214" s="26"/>
      <c r="L214" s="26"/>
    </row>
    <row r="215" spans="1:12" ht="31.5">
      <c r="A215" s="40" t="s">
        <v>255</v>
      </c>
      <c r="B215" s="42" t="s">
        <v>372</v>
      </c>
      <c r="C215" s="42"/>
      <c r="D215" s="20">
        <f>'2020-2022 год Приложение  4'!E289</f>
        <v>441.6</v>
      </c>
      <c r="E215" s="20">
        <f>'2020-2022 год Приложение  4'!F289</f>
        <v>0</v>
      </c>
      <c r="F215" s="20">
        <f>'2020-2022 год Приложение  4'!G289</f>
        <v>441.6</v>
      </c>
      <c r="G215" s="20">
        <f>G216</f>
        <v>0</v>
      </c>
      <c r="H215" s="20">
        <f>H216</f>
        <v>0</v>
      </c>
      <c r="I215" s="26"/>
      <c r="J215" s="26"/>
      <c r="K215" s="123"/>
      <c r="L215" s="123"/>
    </row>
    <row r="216" spans="1:12" ht="31.5">
      <c r="A216" s="22" t="s">
        <v>10</v>
      </c>
      <c r="B216" s="42" t="s">
        <v>372</v>
      </c>
      <c r="C216" s="42" t="s">
        <v>11</v>
      </c>
      <c r="D216" s="20">
        <f>'2020-2022 год Приложение  4'!E290</f>
        <v>441.6</v>
      </c>
      <c r="E216" s="20">
        <f>'2020-2022 год Приложение  4'!F290</f>
        <v>0</v>
      </c>
      <c r="F216" s="20">
        <f>'2020-2022 год Приложение  4'!G290</f>
        <v>441.6</v>
      </c>
      <c r="G216" s="20">
        <f>'2020-2022 год Приложение  4'!H290</f>
        <v>0</v>
      </c>
      <c r="H216" s="20">
        <f>'2020-2022 год Приложение  4'!I290</f>
        <v>0</v>
      </c>
      <c r="I216" s="26"/>
      <c r="J216" s="26"/>
      <c r="K216" s="123"/>
      <c r="L216" s="123"/>
    </row>
    <row r="217" spans="1:12" ht="15.75">
      <c r="A217" s="22" t="s">
        <v>196</v>
      </c>
      <c r="B217" s="42" t="s">
        <v>432</v>
      </c>
      <c r="C217" s="42"/>
      <c r="D217" s="20">
        <f>'2020-2022 год Приложение  4'!E291</f>
        <v>386</v>
      </c>
      <c r="E217" s="20">
        <f>'2020-2022 год Приложение  4'!F291</f>
        <v>0</v>
      </c>
      <c r="F217" s="20">
        <f>'2020-2022 год Приложение  4'!G291</f>
        <v>386</v>
      </c>
      <c r="G217" s="20">
        <f>'2020-2022 год Приложение  4'!H291</f>
        <v>0</v>
      </c>
      <c r="H217" s="20">
        <f>'2020-2022 год Приложение  4'!I291</f>
        <v>0</v>
      </c>
      <c r="I217" s="26"/>
      <c r="J217" s="26"/>
      <c r="K217" s="123"/>
      <c r="L217" s="123"/>
    </row>
    <row r="218" spans="1:12" ht="31.5">
      <c r="A218" s="22" t="s">
        <v>10</v>
      </c>
      <c r="B218" s="42" t="s">
        <v>432</v>
      </c>
      <c r="C218" s="42" t="s">
        <v>11</v>
      </c>
      <c r="D218" s="20">
        <f>'2020-2022 год Приложение  4'!E292</f>
        <v>386</v>
      </c>
      <c r="E218" s="20">
        <f>'2020-2022 год Приложение  4'!F292</f>
        <v>0</v>
      </c>
      <c r="F218" s="20">
        <f>'2020-2022 год Приложение  4'!G292</f>
        <v>386</v>
      </c>
      <c r="G218" s="20">
        <f>'2020-2022 год Приложение  4'!H292</f>
        <v>0</v>
      </c>
      <c r="H218" s="20">
        <f>'2020-2022 год Приложение  4'!I292</f>
        <v>0</v>
      </c>
      <c r="I218" s="26"/>
      <c r="J218" s="26"/>
      <c r="K218" s="123"/>
      <c r="L218" s="123"/>
    </row>
    <row r="219" spans="1:12" ht="47.25">
      <c r="A219" s="22" t="s">
        <v>434</v>
      </c>
      <c r="B219" s="42" t="s">
        <v>433</v>
      </c>
      <c r="C219" s="42"/>
      <c r="D219" s="20">
        <f>'2020-2022 год Приложение  4'!E293</f>
        <v>313</v>
      </c>
      <c r="E219" s="20">
        <f>'2020-2022 год Приложение  4'!F293</f>
        <v>0</v>
      </c>
      <c r="F219" s="20">
        <f>'2020-2022 год Приложение  4'!G293</f>
        <v>313</v>
      </c>
      <c r="G219" s="20">
        <f>'2020-2022 год Приложение  4'!H293</f>
        <v>0</v>
      </c>
      <c r="H219" s="20">
        <f>'2020-2022 год Приложение  4'!I293</f>
        <v>0</v>
      </c>
      <c r="I219" s="26"/>
      <c r="J219" s="26"/>
      <c r="K219" s="123"/>
      <c r="L219" s="123"/>
    </row>
    <row r="220" spans="1:12" ht="31.5">
      <c r="A220" s="22" t="s">
        <v>10</v>
      </c>
      <c r="B220" s="42" t="s">
        <v>433</v>
      </c>
      <c r="C220" s="42" t="s">
        <v>11</v>
      </c>
      <c r="D220" s="20">
        <f>'2020-2022 год Приложение  4'!E294</f>
        <v>313</v>
      </c>
      <c r="E220" s="20">
        <f>'2020-2022 год Приложение  4'!F294</f>
        <v>0</v>
      </c>
      <c r="F220" s="20">
        <f>'2020-2022 год Приложение  4'!G294</f>
        <v>313</v>
      </c>
      <c r="G220" s="20">
        <f>'2020-2022 год Приложение  4'!H294</f>
        <v>0</v>
      </c>
      <c r="H220" s="20">
        <f>'2020-2022 год Приложение  4'!I294</f>
        <v>0</v>
      </c>
      <c r="I220" s="26"/>
      <c r="J220" s="26"/>
      <c r="K220" s="123"/>
      <c r="L220" s="123"/>
    </row>
    <row r="221" spans="1:10" ht="31.5">
      <c r="A221" s="40" t="s">
        <v>51</v>
      </c>
      <c r="B221" s="42" t="s">
        <v>132</v>
      </c>
      <c r="C221" s="42"/>
      <c r="D221" s="20">
        <f>'2020-2022 год Приложение  4'!E295</f>
        <v>36405.6</v>
      </c>
      <c r="E221" s="20">
        <f>'2020-2022 год Приложение  4'!F295</f>
        <v>0</v>
      </c>
      <c r="F221" s="20">
        <f>'2020-2022 год Приложение  4'!G295</f>
        <v>36405.6</v>
      </c>
      <c r="G221" s="20">
        <f>'2020-2022 год Приложение  4'!H295</f>
        <v>34611.3</v>
      </c>
      <c r="H221" s="20">
        <f>'2020-2022 год Приложение  4'!I295</f>
        <v>34564.7</v>
      </c>
      <c r="I221" s="26"/>
      <c r="J221" s="26"/>
    </row>
    <row r="222" spans="1:10" ht="31.5">
      <c r="A222" s="22" t="s">
        <v>10</v>
      </c>
      <c r="B222" s="42" t="s">
        <v>132</v>
      </c>
      <c r="C222" s="42" t="s">
        <v>11</v>
      </c>
      <c r="D222" s="20">
        <f>'2020-2022 год Приложение  4'!E296</f>
        <v>36405.6</v>
      </c>
      <c r="E222" s="20">
        <f>'2020-2022 год Приложение  4'!F296</f>
        <v>0</v>
      </c>
      <c r="F222" s="20">
        <f>'2020-2022 год Приложение  4'!G296</f>
        <v>36405.6</v>
      </c>
      <c r="G222" s="20">
        <f>'2020-2022 год Приложение  4'!H296</f>
        <v>34611.3</v>
      </c>
      <c r="H222" s="20">
        <f>'2020-2022 год Приложение  4'!I296</f>
        <v>34564.7</v>
      </c>
      <c r="I222" s="26"/>
      <c r="J222" s="26"/>
    </row>
    <row r="223" spans="1:10" ht="47.25">
      <c r="A223" s="22" t="s">
        <v>285</v>
      </c>
      <c r="B223" s="42" t="s">
        <v>281</v>
      </c>
      <c r="C223" s="42"/>
      <c r="D223" s="20">
        <f>'2020-2022 год Приложение  4'!E297</f>
        <v>10795.2</v>
      </c>
      <c r="E223" s="20">
        <f>'2020-2022 год Приложение  4'!F297</f>
        <v>0</v>
      </c>
      <c r="F223" s="20">
        <f>'2020-2022 год Приложение  4'!G297</f>
        <v>10795.2</v>
      </c>
      <c r="G223" s="20">
        <f>'2020-2022 год Приложение  4'!H297</f>
        <v>11810.1</v>
      </c>
      <c r="H223" s="20">
        <f>'2020-2022 год Приложение  4'!I297</f>
        <v>12864.2</v>
      </c>
      <c r="I223" s="26"/>
      <c r="J223" s="26"/>
    </row>
    <row r="224" spans="1:10" ht="15.75">
      <c r="A224" s="115" t="s">
        <v>42</v>
      </c>
      <c r="B224" s="42" t="s">
        <v>281</v>
      </c>
      <c r="C224" s="42" t="s">
        <v>43</v>
      </c>
      <c r="D224" s="20">
        <f>'2020-2022 год Приложение  4'!E298</f>
        <v>10795.2</v>
      </c>
      <c r="E224" s="20">
        <f>'2020-2022 год Приложение  4'!F298</f>
        <v>0</v>
      </c>
      <c r="F224" s="20">
        <f>'2020-2022 год Приложение  4'!G298</f>
        <v>10795.2</v>
      </c>
      <c r="G224" s="20">
        <f>'2020-2022 год Приложение  4'!H298</f>
        <v>11810.1</v>
      </c>
      <c r="H224" s="20">
        <f>'2020-2022 год Приложение  4'!I298</f>
        <v>12864.2</v>
      </c>
      <c r="I224" s="26"/>
      <c r="J224" s="26"/>
    </row>
    <row r="225" spans="1:10" ht="63">
      <c r="A225" s="22" t="s">
        <v>267</v>
      </c>
      <c r="B225" s="42" t="s">
        <v>268</v>
      </c>
      <c r="C225" s="42"/>
      <c r="D225" s="20">
        <f>D226</f>
        <v>32965.5</v>
      </c>
      <c r="E225" s="20">
        <f>E226</f>
        <v>0</v>
      </c>
      <c r="F225" s="20">
        <f>F226</f>
        <v>32965.5</v>
      </c>
      <c r="G225" s="20">
        <f>G226</f>
        <v>36063.299999999996</v>
      </c>
      <c r="H225" s="20">
        <f>H226</f>
        <v>39283.9</v>
      </c>
      <c r="I225" s="26"/>
      <c r="J225" s="26"/>
    </row>
    <row r="226" spans="1:10" ht="31.5">
      <c r="A226" s="22" t="s">
        <v>10</v>
      </c>
      <c r="B226" s="42" t="s">
        <v>268</v>
      </c>
      <c r="C226" s="42" t="s">
        <v>11</v>
      </c>
      <c r="D226" s="20">
        <f>'2020-2022 год Приложение  4'!E300</f>
        <v>32965.5</v>
      </c>
      <c r="E226" s="20">
        <f>'2020-2022 год Приложение  4'!F300</f>
        <v>0</v>
      </c>
      <c r="F226" s="20">
        <f>'2020-2022 год Приложение  4'!G300</f>
        <v>32965.5</v>
      </c>
      <c r="G226" s="20">
        <f>'2020-2022 год Приложение  4'!H300</f>
        <v>36063.299999999996</v>
      </c>
      <c r="H226" s="20">
        <f>'2020-2022 год Приложение  4'!I300</f>
        <v>39283.9</v>
      </c>
      <c r="I226" s="26"/>
      <c r="J226" s="26"/>
    </row>
    <row r="227" spans="1:10" ht="31.5">
      <c r="A227" s="22" t="s">
        <v>261</v>
      </c>
      <c r="B227" s="42" t="s">
        <v>262</v>
      </c>
      <c r="C227" s="42"/>
      <c r="D227" s="20">
        <f>'2020-2022 год Приложение  4'!E301</f>
        <v>128.6</v>
      </c>
      <c r="E227" s="20">
        <f>'2020-2022 год Приложение  4'!F301</f>
        <v>0</v>
      </c>
      <c r="F227" s="20">
        <f>'2020-2022 год Приложение  4'!G301</f>
        <v>128.6</v>
      </c>
      <c r="G227" s="20">
        <f>G228</f>
        <v>128.6</v>
      </c>
      <c r="H227" s="20">
        <f>H228</f>
        <v>128.6</v>
      </c>
      <c r="I227" s="26"/>
      <c r="J227" s="26"/>
    </row>
    <row r="228" spans="1:10" ht="31.5">
      <c r="A228" s="22" t="s">
        <v>10</v>
      </c>
      <c r="B228" s="42" t="s">
        <v>262</v>
      </c>
      <c r="C228" s="42" t="s">
        <v>11</v>
      </c>
      <c r="D228" s="20">
        <f>'2020-2022 год Приложение  4'!E302</f>
        <v>128.6</v>
      </c>
      <c r="E228" s="20">
        <f>'2020-2022 год Приложение  4'!F302</f>
        <v>0</v>
      </c>
      <c r="F228" s="20">
        <f>'2020-2022 год Приложение  4'!G302</f>
        <v>128.6</v>
      </c>
      <c r="G228" s="20">
        <f>'2020-2022 год Приложение  4'!H302</f>
        <v>128.6</v>
      </c>
      <c r="H228" s="20">
        <f>'2020-2022 год Приложение  4'!I302</f>
        <v>128.6</v>
      </c>
      <c r="I228" s="26"/>
      <c r="J228" s="26"/>
    </row>
    <row r="229" spans="1:10" ht="31.5">
      <c r="A229" s="40" t="s">
        <v>50</v>
      </c>
      <c r="B229" s="42" t="s">
        <v>133</v>
      </c>
      <c r="C229" s="42"/>
      <c r="D229" s="20">
        <f>'2020-2022 год Приложение  4'!E303</f>
        <v>21282.9</v>
      </c>
      <c r="E229" s="20">
        <f>'2020-2022 год Приложение  4'!F303</f>
        <v>0</v>
      </c>
      <c r="F229" s="20">
        <f>'2020-2022 год Приложение  4'!G303</f>
        <v>21282.9</v>
      </c>
      <c r="G229" s="20">
        <f>'2020-2022 год Приложение  4'!H303</f>
        <v>19733.8</v>
      </c>
      <c r="H229" s="20">
        <f>'2020-2022 год Приложение  4'!I303</f>
        <v>20725</v>
      </c>
      <c r="I229" s="26"/>
      <c r="J229" s="26"/>
    </row>
    <row r="230" spans="1:10" ht="31.5">
      <c r="A230" s="22" t="s">
        <v>10</v>
      </c>
      <c r="B230" s="42" t="s">
        <v>133</v>
      </c>
      <c r="C230" s="42" t="s">
        <v>11</v>
      </c>
      <c r="D230" s="20">
        <f>'2020-2022 год Приложение  4'!E304</f>
        <v>21282.9</v>
      </c>
      <c r="E230" s="20">
        <f>'2020-2022 год Приложение  4'!F304</f>
        <v>0</v>
      </c>
      <c r="F230" s="20">
        <f>'2020-2022 год Приложение  4'!G304</f>
        <v>21282.9</v>
      </c>
      <c r="G230" s="20">
        <f>'2020-2022 год Приложение  4'!H304</f>
        <v>19733.8</v>
      </c>
      <c r="H230" s="20">
        <f>'2020-2022 год Приложение  4'!I304</f>
        <v>20725</v>
      </c>
      <c r="I230" s="26"/>
      <c r="J230" s="26"/>
    </row>
    <row r="231" spans="1:10" ht="47.25">
      <c r="A231" s="22" t="s">
        <v>272</v>
      </c>
      <c r="B231" s="42" t="s">
        <v>273</v>
      </c>
      <c r="C231" s="42"/>
      <c r="D231" s="20">
        <f>'2020-2022 год Приложение  4'!E305</f>
        <v>7477</v>
      </c>
      <c r="E231" s="20">
        <f>'2020-2022 год Приложение  4'!F305</f>
        <v>0</v>
      </c>
      <c r="F231" s="20">
        <f>'2020-2022 год Приложение  4'!G305</f>
        <v>7477</v>
      </c>
      <c r="G231" s="20">
        <f>'2020-2022 год Приложение  4'!H305</f>
        <v>8236.4</v>
      </c>
      <c r="H231" s="20">
        <f>'2020-2022 год Приложение  4'!I305</f>
        <v>9116.5</v>
      </c>
      <c r="I231" s="26"/>
      <c r="J231" s="26"/>
    </row>
    <row r="232" spans="1:10" ht="31.5">
      <c r="A232" s="22" t="s">
        <v>10</v>
      </c>
      <c r="B232" s="42" t="s">
        <v>273</v>
      </c>
      <c r="C232" s="42" t="s">
        <v>11</v>
      </c>
      <c r="D232" s="20">
        <f>'2020-2022 год Приложение  4'!E306</f>
        <v>7477</v>
      </c>
      <c r="E232" s="20">
        <f>'2020-2022 год Приложение  4'!F306</f>
        <v>0</v>
      </c>
      <c r="F232" s="20">
        <f>'2020-2022 год Приложение  4'!G306</f>
        <v>7477</v>
      </c>
      <c r="G232" s="20">
        <f>'2020-2022 год Приложение  4'!H306</f>
        <v>8236.4</v>
      </c>
      <c r="H232" s="20">
        <f>'2020-2022 год Приложение  4'!I306</f>
        <v>9116.5</v>
      </c>
      <c r="I232" s="26"/>
      <c r="J232" s="26"/>
    </row>
    <row r="233" spans="1:10" ht="31.5">
      <c r="A233" s="22" t="s">
        <v>261</v>
      </c>
      <c r="B233" s="42" t="s">
        <v>263</v>
      </c>
      <c r="C233" s="42"/>
      <c r="D233" s="20">
        <f>'2020-2022 год Приложение  4'!E307</f>
        <v>130</v>
      </c>
      <c r="E233" s="20">
        <f>'2020-2022 год Приложение  4'!F307</f>
        <v>0</v>
      </c>
      <c r="F233" s="20">
        <f>'2020-2022 год Приложение  4'!G307</f>
        <v>130</v>
      </c>
      <c r="G233" s="20">
        <f>'2020-2022 год Приложение  4'!H307</f>
        <v>130</v>
      </c>
      <c r="H233" s="20">
        <f>'2020-2022 год Приложение  4'!I307</f>
        <v>130</v>
      </c>
      <c r="I233" s="26"/>
      <c r="J233" s="26"/>
    </row>
    <row r="234" spans="1:10" ht="31.5">
      <c r="A234" s="22" t="s">
        <v>10</v>
      </c>
      <c r="B234" s="42" t="s">
        <v>263</v>
      </c>
      <c r="C234" s="42" t="s">
        <v>11</v>
      </c>
      <c r="D234" s="20">
        <f>'2020-2022 год Приложение  4'!E308</f>
        <v>130</v>
      </c>
      <c r="E234" s="20">
        <f>'2020-2022 год Приложение  4'!F308</f>
        <v>0</v>
      </c>
      <c r="F234" s="20">
        <f>'2020-2022 год Приложение  4'!G308</f>
        <v>130</v>
      </c>
      <c r="G234" s="20">
        <f>'2020-2022 год Приложение  4'!H308</f>
        <v>130</v>
      </c>
      <c r="H234" s="20">
        <f>'2020-2022 год Приложение  4'!I308</f>
        <v>130</v>
      </c>
      <c r="I234" s="26"/>
      <c r="J234" s="26"/>
    </row>
    <row r="235" spans="1:10" ht="47.25">
      <c r="A235" s="40" t="s">
        <v>439</v>
      </c>
      <c r="B235" s="42" t="s">
        <v>438</v>
      </c>
      <c r="C235" s="42"/>
      <c r="D235" s="20">
        <f>'2020-2022 год Приложение  4'!E309</f>
        <v>115</v>
      </c>
      <c r="E235" s="20">
        <f>'2020-2022 год Приложение  4'!F309</f>
        <v>0</v>
      </c>
      <c r="F235" s="20">
        <f>'2020-2022 год Приложение  4'!G309</f>
        <v>115</v>
      </c>
      <c r="G235" s="20">
        <f>'2020-2022 год Приложение  4'!H309</f>
        <v>0</v>
      </c>
      <c r="H235" s="20">
        <f>'2020-2022 год Приложение  4'!I309</f>
        <v>0</v>
      </c>
      <c r="I235" s="26"/>
      <c r="J235" s="26"/>
    </row>
    <row r="236" spans="1:10" ht="31.5">
      <c r="A236" s="22" t="s">
        <v>10</v>
      </c>
      <c r="B236" s="42" t="s">
        <v>438</v>
      </c>
      <c r="C236" s="42" t="s">
        <v>11</v>
      </c>
      <c r="D236" s="20">
        <f>'2020-2022 год Приложение  4'!E310</f>
        <v>115</v>
      </c>
      <c r="E236" s="20">
        <f>'2020-2022 год Приложение  4'!F310</f>
        <v>0</v>
      </c>
      <c r="F236" s="20">
        <f>'2020-2022 год Приложение  4'!G310</f>
        <v>115</v>
      </c>
      <c r="G236" s="20">
        <f>'2020-2022 год Приложение  4'!H310</f>
        <v>0</v>
      </c>
      <c r="H236" s="20">
        <f>'2020-2022 год Приложение  4'!I310</f>
        <v>0</v>
      </c>
      <c r="I236" s="26"/>
      <c r="J236" s="26"/>
    </row>
    <row r="237" spans="1:10" ht="15.75">
      <c r="A237" s="40" t="s">
        <v>181</v>
      </c>
      <c r="B237" s="42" t="s">
        <v>182</v>
      </c>
      <c r="C237" s="42"/>
      <c r="D237" s="20">
        <f>'2020-2022 год Приложение  4'!E311</f>
        <v>20</v>
      </c>
      <c r="E237" s="20">
        <f>'2020-2022 год Приложение  4'!F311</f>
        <v>0</v>
      </c>
      <c r="F237" s="20">
        <f>'2020-2022 год Приложение  4'!G311</f>
        <v>20</v>
      </c>
      <c r="G237" s="20">
        <f>'2020-2022 год Приложение  4'!H311</f>
        <v>20</v>
      </c>
      <c r="H237" s="20">
        <f>'2020-2022 год Приложение  4'!I311</f>
        <v>20</v>
      </c>
      <c r="I237" s="26"/>
      <c r="J237" s="26"/>
    </row>
    <row r="238" spans="1:10" ht="15.75">
      <c r="A238" s="40" t="s">
        <v>27</v>
      </c>
      <c r="B238" s="42" t="s">
        <v>182</v>
      </c>
      <c r="C238" s="42" t="s">
        <v>16</v>
      </c>
      <c r="D238" s="20">
        <f>'2020-2022 год Приложение  4'!E312</f>
        <v>20</v>
      </c>
      <c r="E238" s="20">
        <f>'2020-2022 год Приложение  4'!F312</f>
        <v>0</v>
      </c>
      <c r="F238" s="20">
        <f>'2020-2022 год Приложение  4'!G312</f>
        <v>20</v>
      </c>
      <c r="G238" s="20">
        <f>'2020-2022 год Приложение  4'!H312</f>
        <v>20</v>
      </c>
      <c r="H238" s="20">
        <f>'2020-2022 год Приложение  4'!I312</f>
        <v>20</v>
      </c>
      <c r="I238" s="26"/>
      <c r="J238" s="26"/>
    </row>
    <row r="239" spans="1:10" ht="47.25">
      <c r="A239" s="22" t="s">
        <v>436</v>
      </c>
      <c r="B239" s="42" t="s">
        <v>448</v>
      </c>
      <c r="C239" s="42"/>
      <c r="D239" s="20">
        <f>'2020-2022 год Приложение  4'!E313</f>
        <v>8379.2</v>
      </c>
      <c r="E239" s="20">
        <f>'2020-2022 год Приложение  4'!F313</f>
        <v>0</v>
      </c>
      <c r="F239" s="20">
        <f>'2020-2022 год Приложение  4'!G313</f>
        <v>8379.2</v>
      </c>
      <c r="G239" s="20">
        <f>'2020-2022 год Приложение  4'!H313</f>
        <v>0</v>
      </c>
      <c r="H239" s="20">
        <f>'2020-2022 год Приложение  4'!I313</f>
        <v>0</v>
      </c>
      <c r="I239" s="26"/>
      <c r="J239" s="26"/>
    </row>
    <row r="240" spans="1:10" ht="31.5">
      <c r="A240" s="22" t="s">
        <v>10</v>
      </c>
      <c r="B240" s="42" t="s">
        <v>448</v>
      </c>
      <c r="C240" s="42" t="s">
        <v>11</v>
      </c>
      <c r="D240" s="20">
        <f>'2020-2022 год Приложение  4'!E314</f>
        <v>8379.2</v>
      </c>
      <c r="E240" s="20">
        <f>'2020-2022 год Приложение  4'!F314</f>
        <v>0</v>
      </c>
      <c r="F240" s="20">
        <f>'2020-2022 год Приложение  4'!G314</f>
        <v>8379.2</v>
      </c>
      <c r="G240" s="20">
        <f>'2020-2022 год Приложение  4'!H314</f>
        <v>0</v>
      </c>
      <c r="H240" s="20">
        <f>'2020-2022 год Приложение  4'!I314</f>
        <v>0</v>
      </c>
      <c r="I240" s="26"/>
      <c r="J240" s="26"/>
    </row>
    <row r="241" spans="1:10" ht="15.75">
      <c r="A241" s="40" t="s">
        <v>22</v>
      </c>
      <c r="B241" s="42" t="s">
        <v>134</v>
      </c>
      <c r="C241" s="42"/>
      <c r="D241" s="20">
        <f>'2020-2022 год Приложение  4'!E315</f>
        <v>9535.6</v>
      </c>
      <c r="E241" s="20">
        <f>'2020-2022 год Приложение  4'!F315</f>
        <v>0</v>
      </c>
      <c r="F241" s="20">
        <f>'2020-2022 год Приложение  4'!G315</f>
        <v>9535.6</v>
      </c>
      <c r="G241" s="20">
        <f>'2020-2022 год Приложение  4'!H315</f>
        <v>9535.6</v>
      </c>
      <c r="H241" s="20">
        <f>'2020-2022 год Приложение  4'!I315</f>
        <v>9535.6</v>
      </c>
      <c r="I241" s="26"/>
      <c r="J241" s="26"/>
    </row>
    <row r="242" spans="1:10" ht="63">
      <c r="A242" s="22" t="s">
        <v>14</v>
      </c>
      <c r="B242" s="42" t="s">
        <v>134</v>
      </c>
      <c r="C242" s="42" t="s">
        <v>15</v>
      </c>
      <c r="D242" s="20">
        <f>'2020-2022 год Приложение  4'!E316</f>
        <v>8439.7</v>
      </c>
      <c r="E242" s="20">
        <f>'2020-2022 год Приложение  4'!F316</f>
        <v>0</v>
      </c>
      <c r="F242" s="20">
        <f>'2020-2022 год Приложение  4'!G316</f>
        <v>8439.7</v>
      </c>
      <c r="G242" s="20">
        <f>'2020-2022 год Приложение  4'!H316</f>
        <v>8439.7</v>
      </c>
      <c r="H242" s="20">
        <f>'2020-2022 год Приложение  4'!I316</f>
        <v>8439.7</v>
      </c>
      <c r="I242" s="26"/>
      <c r="J242" s="26"/>
    </row>
    <row r="243" spans="1:10" ht="47.25">
      <c r="A243" s="45" t="s">
        <v>453</v>
      </c>
      <c r="B243" s="42" t="s">
        <v>134</v>
      </c>
      <c r="C243" s="42" t="s">
        <v>8</v>
      </c>
      <c r="D243" s="20">
        <f>'2020-2022 год Приложение  4'!E317</f>
        <v>1077.1</v>
      </c>
      <c r="E243" s="20">
        <f>'2020-2022 год Приложение  4'!F317</f>
        <v>0</v>
      </c>
      <c r="F243" s="20">
        <f>'2020-2022 год Приложение  4'!G317</f>
        <v>1077.1</v>
      </c>
      <c r="G243" s="20">
        <f>'2020-2022 год Приложение  4'!H317</f>
        <v>1077.1</v>
      </c>
      <c r="H243" s="20">
        <f>'2020-2022 год Приложение  4'!I317</f>
        <v>1077.1</v>
      </c>
      <c r="I243" s="26"/>
      <c r="J243" s="26"/>
    </row>
    <row r="244" spans="1:10" ht="15.75">
      <c r="A244" s="54" t="s">
        <v>9</v>
      </c>
      <c r="B244" s="42" t="s">
        <v>134</v>
      </c>
      <c r="C244" s="42" t="s">
        <v>12</v>
      </c>
      <c r="D244" s="20">
        <f>'2020-2022 год Приложение  4'!E318</f>
        <v>18.8</v>
      </c>
      <c r="E244" s="20">
        <f>'2020-2022 год Приложение  4'!F318</f>
        <v>0</v>
      </c>
      <c r="F244" s="20">
        <f>'2020-2022 год Приложение  4'!G318</f>
        <v>18.8</v>
      </c>
      <c r="G244" s="20">
        <f>'2020-2022 год Приложение  4'!H318</f>
        <v>18.8</v>
      </c>
      <c r="H244" s="20">
        <f>'2020-2022 год Приложение  4'!I318</f>
        <v>18.8</v>
      </c>
      <c r="I244" s="26"/>
      <c r="J244" s="26"/>
    </row>
    <row r="245" spans="1:10" ht="15.75">
      <c r="A245" s="40" t="s">
        <v>48</v>
      </c>
      <c r="B245" s="42" t="s">
        <v>379</v>
      </c>
      <c r="C245" s="42"/>
      <c r="D245" s="20">
        <f>'2020-2022 год Приложение  4'!E319</f>
        <v>9803.1</v>
      </c>
      <c r="E245" s="20">
        <f>'2020-2022 год Приложение  4'!F319</f>
        <v>0</v>
      </c>
      <c r="F245" s="20">
        <f>'2020-2022 год Приложение  4'!G319</f>
        <v>9803.1</v>
      </c>
      <c r="G245" s="20">
        <f>'2020-2022 год Приложение  4'!H319</f>
        <v>9803.1</v>
      </c>
      <c r="H245" s="20">
        <f>'2020-2022 год Приложение  4'!I319</f>
        <v>9803.1</v>
      </c>
      <c r="I245" s="26"/>
      <c r="J245" s="26"/>
    </row>
    <row r="246" spans="1:10" ht="63">
      <c r="A246" s="22" t="s">
        <v>14</v>
      </c>
      <c r="B246" s="42" t="s">
        <v>379</v>
      </c>
      <c r="C246" s="42" t="s">
        <v>15</v>
      </c>
      <c r="D246" s="20">
        <f>'2020-2022 год Приложение  4'!E320</f>
        <v>9087.9</v>
      </c>
      <c r="E246" s="20">
        <f>'2020-2022 год Приложение  4'!F320</f>
        <v>0</v>
      </c>
      <c r="F246" s="20">
        <f>'2020-2022 год Приложение  4'!G320</f>
        <v>9087.9</v>
      </c>
      <c r="G246" s="20">
        <f>'2020-2022 год Приложение  4'!H320</f>
        <v>9087.9</v>
      </c>
      <c r="H246" s="20">
        <f>'2020-2022 год Приложение  4'!I320</f>
        <v>9087.9</v>
      </c>
      <c r="I246" s="26"/>
      <c r="J246" s="26"/>
    </row>
    <row r="247" spans="1:10" ht="47.25">
      <c r="A247" s="45" t="s">
        <v>453</v>
      </c>
      <c r="B247" s="42" t="s">
        <v>379</v>
      </c>
      <c r="C247" s="42" t="s">
        <v>8</v>
      </c>
      <c r="D247" s="20">
        <f>'2020-2022 год Приложение  4'!E321</f>
        <v>712.7</v>
      </c>
      <c r="E247" s="20">
        <f>'2020-2022 год Приложение  4'!F321</f>
        <v>0</v>
      </c>
      <c r="F247" s="20">
        <f>'2020-2022 год Приложение  4'!G321</f>
        <v>712.7</v>
      </c>
      <c r="G247" s="20">
        <f>'2020-2022 год Приложение  4'!H321</f>
        <v>712.7</v>
      </c>
      <c r="H247" s="20">
        <f>'2020-2022 год Приложение  4'!I321</f>
        <v>712.7</v>
      </c>
      <c r="I247" s="26"/>
      <c r="J247" s="26"/>
    </row>
    <row r="248" spans="1:10" ht="15.75">
      <c r="A248" s="54" t="s">
        <v>9</v>
      </c>
      <c r="B248" s="42" t="s">
        <v>379</v>
      </c>
      <c r="C248" s="42" t="s">
        <v>12</v>
      </c>
      <c r="D248" s="20">
        <f>'2020-2022 год Приложение  4'!E322</f>
        <v>2.5</v>
      </c>
      <c r="E248" s="20">
        <f>'2020-2022 год Приложение  4'!F322</f>
        <v>0</v>
      </c>
      <c r="F248" s="20">
        <f>'2020-2022 год Приложение  4'!G322</f>
        <v>2.5</v>
      </c>
      <c r="G248" s="20">
        <f>'2020-2022 год Приложение  4'!H322</f>
        <v>2.5</v>
      </c>
      <c r="H248" s="20">
        <f>'2020-2022 год Приложение  4'!I322</f>
        <v>2.5</v>
      </c>
      <c r="I248" s="26"/>
      <c r="J248" s="26"/>
    </row>
    <row r="249" spans="1:10" ht="31.5">
      <c r="A249" s="29" t="s">
        <v>305</v>
      </c>
      <c r="B249" s="30" t="s">
        <v>135</v>
      </c>
      <c r="C249" s="30" t="s">
        <v>0</v>
      </c>
      <c r="D249" s="31">
        <f>D250+D253+D255+D257+D259+D263+D265+D268+D270+D272+D261</f>
        <v>63298.9</v>
      </c>
      <c r="E249" s="31">
        <f>E250+E253+E255+E257+E259+E263+E265+E268+E270+E272+E261</f>
        <v>2650</v>
      </c>
      <c r="F249" s="31">
        <f>F250+F253+F255+F257+F259+F263+F265+F268+F270+F272+F261</f>
        <v>65948.90000000001</v>
      </c>
      <c r="G249" s="31">
        <f>G250+G253+G255+G257+G259+G263+G265+G268+G270+G272+G261</f>
        <v>61910.899999999994</v>
      </c>
      <c r="H249" s="31">
        <f>H250+H253+H255+H257+H259+H263+H265+H268+H270+H272+H261</f>
        <v>62368.399999999994</v>
      </c>
      <c r="I249" s="26"/>
      <c r="J249" s="26"/>
    </row>
    <row r="250" spans="1:10" ht="15.75">
      <c r="A250" s="40" t="s">
        <v>355</v>
      </c>
      <c r="B250" s="42" t="s">
        <v>356</v>
      </c>
      <c r="C250" s="42"/>
      <c r="D250" s="36">
        <f>'2020-2022 год Приложение  4'!E120</f>
        <v>190</v>
      </c>
      <c r="E250" s="36">
        <f>'2020-2022 год Приложение  4'!F120</f>
        <v>2650</v>
      </c>
      <c r="F250" s="36">
        <f>'2020-2022 год Приложение  4'!G120</f>
        <v>2840</v>
      </c>
      <c r="G250" s="36">
        <f>'2020-2022 год Приложение  4'!H120</f>
        <v>100</v>
      </c>
      <c r="H250" s="36">
        <f>'2020-2022 год Приложение  4'!I120</f>
        <v>100</v>
      </c>
      <c r="I250" s="26"/>
      <c r="J250" s="26"/>
    </row>
    <row r="251" spans="1:10" ht="47.25">
      <c r="A251" s="45" t="s">
        <v>453</v>
      </c>
      <c r="B251" s="42" t="s">
        <v>356</v>
      </c>
      <c r="C251" s="42" t="s">
        <v>8</v>
      </c>
      <c r="D251" s="36">
        <f>'2020-2022 год Приложение  4'!E121</f>
        <v>100</v>
      </c>
      <c r="E251" s="36">
        <f>'2020-2022 год Приложение  4'!F121</f>
        <v>0</v>
      </c>
      <c r="F251" s="36">
        <f>D251+E251</f>
        <v>100</v>
      </c>
      <c r="G251" s="36">
        <f>'2020-2022 год Приложение  4'!H121</f>
        <v>0</v>
      </c>
      <c r="H251" s="36">
        <f>'2020-2022 год Приложение  4'!I121</f>
        <v>0</v>
      </c>
      <c r="I251" s="26"/>
      <c r="J251" s="26"/>
    </row>
    <row r="252" spans="1:10" ht="31.5">
      <c r="A252" s="22" t="s">
        <v>10</v>
      </c>
      <c r="B252" s="42" t="s">
        <v>356</v>
      </c>
      <c r="C252" s="42" t="s">
        <v>11</v>
      </c>
      <c r="D252" s="36">
        <f>'2020-2022 год Приложение  4'!E122</f>
        <v>90</v>
      </c>
      <c r="E252" s="36">
        <f>'2020-2022 год Приложение  4'!F122</f>
        <v>2650</v>
      </c>
      <c r="F252" s="36">
        <f>'2020-2022 год Приложение  4'!G122</f>
        <v>2740</v>
      </c>
      <c r="G252" s="36">
        <f>'2020-2022 год Приложение  4'!H122</f>
        <v>100</v>
      </c>
      <c r="H252" s="36">
        <f>'2020-2022 год Приложение  4'!I122</f>
        <v>100</v>
      </c>
      <c r="I252" s="26"/>
      <c r="J252" s="26"/>
    </row>
    <row r="253" spans="1:10" ht="31.5">
      <c r="A253" s="40" t="s">
        <v>52</v>
      </c>
      <c r="B253" s="42" t="s">
        <v>136</v>
      </c>
      <c r="C253" s="42"/>
      <c r="D253" s="36">
        <f>'2020-2022 год Приложение  4'!E123</f>
        <v>55155.8</v>
      </c>
      <c r="E253" s="36">
        <f>'2020-2022 год Приложение  4'!F123</f>
        <v>0</v>
      </c>
      <c r="F253" s="36">
        <f>'2020-2022 год Приложение  4'!G123</f>
        <v>55155.8</v>
      </c>
      <c r="G253" s="36">
        <f>'2020-2022 год Приложение  4'!H123</f>
        <v>55939.9</v>
      </c>
      <c r="H253" s="36">
        <f>'2020-2022 год Приложение  4'!I123</f>
        <v>55935.3</v>
      </c>
      <c r="I253" s="26"/>
      <c r="J253" s="26"/>
    </row>
    <row r="254" spans="1:10" ht="31.5">
      <c r="A254" s="22" t="s">
        <v>10</v>
      </c>
      <c r="B254" s="42" t="s">
        <v>136</v>
      </c>
      <c r="C254" s="42" t="s">
        <v>11</v>
      </c>
      <c r="D254" s="36">
        <f>'2020-2022 год Приложение  4'!E124</f>
        <v>55155.8</v>
      </c>
      <c r="E254" s="36">
        <f>'2020-2022 год Приложение  4'!F124</f>
        <v>0</v>
      </c>
      <c r="F254" s="36">
        <f>'2020-2022 год Приложение  4'!G124</f>
        <v>55155.8</v>
      </c>
      <c r="G254" s="36">
        <f>'2020-2022 год Приложение  4'!H124</f>
        <v>55939.9</v>
      </c>
      <c r="H254" s="36">
        <f>'2020-2022 год Приложение  4'!I124</f>
        <v>55935.3</v>
      </c>
      <c r="I254" s="26"/>
      <c r="J254" s="26"/>
    </row>
    <row r="255" spans="1:10" ht="47.25">
      <c r="A255" s="40" t="s">
        <v>272</v>
      </c>
      <c r="B255" s="42" t="s">
        <v>275</v>
      </c>
      <c r="C255" s="42"/>
      <c r="D255" s="36">
        <f>'2020-2022 год Приложение  4'!E125</f>
        <v>2953.2</v>
      </c>
      <c r="E255" s="36">
        <f>'2020-2022 год Приложение  4'!F125</f>
        <v>0</v>
      </c>
      <c r="F255" s="36">
        <f>'2020-2022 год Приложение  4'!G125</f>
        <v>2953.2</v>
      </c>
      <c r="G255" s="36">
        <f>'2020-2022 год Приложение  4'!H125</f>
        <v>3398.1</v>
      </c>
      <c r="H255" s="36">
        <f>'2020-2022 год Приложение  4'!I125</f>
        <v>3860.2</v>
      </c>
      <c r="I255" s="26"/>
      <c r="J255" s="26"/>
    </row>
    <row r="256" spans="1:10" ht="31.5">
      <c r="A256" s="22" t="s">
        <v>10</v>
      </c>
      <c r="B256" s="42" t="s">
        <v>275</v>
      </c>
      <c r="C256" s="42" t="s">
        <v>11</v>
      </c>
      <c r="D256" s="36">
        <f>'2020-2022 год Приложение  4'!E126</f>
        <v>2953.2</v>
      </c>
      <c r="E256" s="36">
        <f>'2020-2022 год Приложение  4'!F126</f>
        <v>0</v>
      </c>
      <c r="F256" s="36">
        <f>'2020-2022 год Приложение  4'!G126</f>
        <v>2953.2</v>
      </c>
      <c r="G256" s="36">
        <f>'2020-2022 год Приложение  4'!H126</f>
        <v>3398.1</v>
      </c>
      <c r="H256" s="36">
        <f>'2020-2022 год Приложение  4'!I126</f>
        <v>3860.2</v>
      </c>
      <c r="I256" s="26"/>
      <c r="J256" s="26"/>
    </row>
    <row r="257" spans="1:10" ht="31.5">
      <c r="A257" s="40" t="s">
        <v>261</v>
      </c>
      <c r="B257" s="42" t="s">
        <v>334</v>
      </c>
      <c r="C257" s="42"/>
      <c r="D257" s="36">
        <f>'2020-2022 год Приложение  4'!E127</f>
        <v>52.2</v>
      </c>
      <c r="E257" s="36">
        <f>'2020-2022 год Приложение  4'!F127</f>
        <v>0</v>
      </c>
      <c r="F257" s="36">
        <f>'2020-2022 год Приложение  4'!G127</f>
        <v>52.2</v>
      </c>
      <c r="G257" s="36">
        <f>'2020-2022 год Приложение  4'!H127</f>
        <v>52.2</v>
      </c>
      <c r="H257" s="36">
        <f>'2020-2022 год Приложение  4'!I127</f>
        <v>52.2</v>
      </c>
      <c r="I257" s="26"/>
      <c r="J257" s="26"/>
    </row>
    <row r="258" spans="1:10" ht="31.5">
      <c r="A258" s="40" t="s">
        <v>10</v>
      </c>
      <c r="B258" s="42" t="s">
        <v>334</v>
      </c>
      <c r="C258" s="42" t="s">
        <v>11</v>
      </c>
      <c r="D258" s="36">
        <f>'2020-2022 год Приложение  4'!E128</f>
        <v>52.2</v>
      </c>
      <c r="E258" s="36">
        <f>'2020-2022 год Приложение  4'!F128</f>
        <v>0</v>
      </c>
      <c r="F258" s="36">
        <f>'2020-2022 год Приложение  4'!G128</f>
        <v>52.2</v>
      </c>
      <c r="G258" s="36">
        <f>'2020-2022 год Приложение  4'!H128</f>
        <v>52.2</v>
      </c>
      <c r="H258" s="36">
        <f>'2020-2022 год Приложение  4'!I128</f>
        <v>52.2</v>
      </c>
      <c r="I258" s="26"/>
      <c r="J258" s="26"/>
    </row>
    <row r="259" spans="1:10" ht="29.25" customHeight="1">
      <c r="A259" s="22" t="s">
        <v>40</v>
      </c>
      <c r="B259" s="42" t="s">
        <v>357</v>
      </c>
      <c r="C259" s="42"/>
      <c r="D259" s="36">
        <f>'2020-2022 год Приложение  4'!E129</f>
        <v>300.7</v>
      </c>
      <c r="E259" s="36">
        <f>'2020-2022 год Приложение  4'!F129</f>
        <v>0</v>
      </c>
      <c r="F259" s="36">
        <f>'2020-2022 год Приложение  4'!G129</f>
        <v>300.7</v>
      </c>
      <c r="G259" s="36">
        <f>'2020-2022 год Приложение  4'!H129</f>
        <v>300.7</v>
      </c>
      <c r="H259" s="36">
        <f>'2020-2022 год Приложение  4'!I129</f>
        <v>300.7</v>
      </c>
      <c r="I259" s="26"/>
      <c r="J259" s="26"/>
    </row>
    <row r="260" spans="1:10" ht="31.5">
      <c r="A260" s="22" t="s">
        <v>10</v>
      </c>
      <c r="B260" s="42" t="s">
        <v>357</v>
      </c>
      <c r="C260" s="42" t="s">
        <v>11</v>
      </c>
      <c r="D260" s="36">
        <f>'2020-2022 год Приложение  4'!E130</f>
        <v>300.7</v>
      </c>
      <c r="E260" s="36">
        <f>'2020-2022 год Приложение  4'!F130</f>
        <v>0</v>
      </c>
      <c r="F260" s="36">
        <f>'2020-2022 год Приложение  4'!G130</f>
        <v>300.7</v>
      </c>
      <c r="G260" s="36">
        <f>'2020-2022 год Приложение  4'!H130</f>
        <v>300.7</v>
      </c>
      <c r="H260" s="36">
        <f>'2020-2022 год Приложение  4'!I130</f>
        <v>300.7</v>
      </c>
      <c r="I260" s="26"/>
      <c r="J260" s="26"/>
    </row>
    <row r="261" spans="1:10" ht="47.25">
      <c r="A261" s="22" t="s">
        <v>436</v>
      </c>
      <c r="B261" s="42" t="s">
        <v>435</v>
      </c>
      <c r="C261" s="42"/>
      <c r="D261" s="36">
        <f>'2020-2022 год Приложение  4'!E131</f>
        <v>1788.6</v>
      </c>
      <c r="E261" s="36">
        <f>'2020-2022 год Приложение  4'!F131</f>
        <v>0</v>
      </c>
      <c r="F261" s="36">
        <f>'2020-2022 год Приложение  4'!G131</f>
        <v>1788.6</v>
      </c>
      <c r="G261" s="36">
        <f>'2020-2022 год Приложение  4'!H131</f>
        <v>0</v>
      </c>
      <c r="H261" s="36">
        <f>'2020-2022 год Приложение  4'!I131</f>
        <v>0</v>
      </c>
      <c r="I261" s="26"/>
      <c r="J261" s="26"/>
    </row>
    <row r="262" spans="1:10" ht="31.5">
      <c r="A262" s="22" t="s">
        <v>10</v>
      </c>
      <c r="B262" s="42" t="s">
        <v>435</v>
      </c>
      <c r="C262" s="42" t="s">
        <v>11</v>
      </c>
      <c r="D262" s="36">
        <f>'2020-2022 год Приложение  4'!E132</f>
        <v>1788.6</v>
      </c>
      <c r="E262" s="36">
        <f>'2020-2022 год Приложение  4'!F132</f>
        <v>0</v>
      </c>
      <c r="F262" s="36">
        <f>'2020-2022 год Приложение  4'!G132</f>
        <v>1788.6</v>
      </c>
      <c r="G262" s="36">
        <f>'2020-2022 год Приложение  4'!H132</f>
        <v>0</v>
      </c>
      <c r="H262" s="36">
        <f>'2020-2022 год Приложение  4'!I132</f>
        <v>0</v>
      </c>
      <c r="I262" s="26"/>
      <c r="J262" s="26"/>
    </row>
    <row r="263" spans="1:10" ht="31.5">
      <c r="A263" s="166" t="s">
        <v>212</v>
      </c>
      <c r="B263" s="42" t="s">
        <v>211</v>
      </c>
      <c r="C263" s="15"/>
      <c r="D263" s="36">
        <f>'2020-2022 год Приложение  4'!E133</f>
        <v>14.3</v>
      </c>
      <c r="E263" s="36">
        <f>'2020-2022 год Приложение  4'!F133</f>
        <v>0</v>
      </c>
      <c r="F263" s="36">
        <f>'2020-2022 год Приложение  4'!G133</f>
        <v>14.3</v>
      </c>
      <c r="G263" s="36">
        <f>'2020-2022 год Приложение  4'!H133</f>
        <v>20</v>
      </c>
      <c r="H263" s="36">
        <f>'2020-2022 год Приложение  4'!I133</f>
        <v>20</v>
      </c>
      <c r="I263" s="26"/>
      <c r="J263" s="26"/>
    </row>
    <row r="264" spans="1:10" ht="47.25">
      <c r="A264" s="45" t="s">
        <v>453</v>
      </c>
      <c r="B264" s="42" t="s">
        <v>211</v>
      </c>
      <c r="C264" s="15" t="s">
        <v>8</v>
      </c>
      <c r="D264" s="36">
        <f>'2020-2022 год Приложение  4'!E134</f>
        <v>14.3</v>
      </c>
      <c r="E264" s="36">
        <f>'2020-2022 год Приложение  4'!F134</f>
        <v>0</v>
      </c>
      <c r="F264" s="36">
        <f>'2020-2022 год Приложение  4'!G134</f>
        <v>14.3</v>
      </c>
      <c r="G264" s="36">
        <f>'2020-2022 год Приложение  4'!H134</f>
        <v>20</v>
      </c>
      <c r="H264" s="36">
        <f>'2020-2022 год Приложение  4'!I134</f>
        <v>20</v>
      </c>
      <c r="I264" s="26"/>
      <c r="J264" s="26"/>
    </row>
    <row r="265" spans="1:10" ht="31.5">
      <c r="A265" s="166" t="s">
        <v>41</v>
      </c>
      <c r="B265" s="42" t="s">
        <v>137</v>
      </c>
      <c r="C265" s="42"/>
      <c r="D265" s="36">
        <f>'2020-2022 год Приложение  4'!E135</f>
        <v>1721.3</v>
      </c>
      <c r="E265" s="36">
        <f>'2020-2022 год Приложение  4'!F135</f>
        <v>0</v>
      </c>
      <c r="F265" s="36">
        <f>'2020-2022 год Приложение  4'!G135</f>
        <v>1721.3</v>
      </c>
      <c r="G265" s="36">
        <f>'2020-2022 год Приложение  4'!H135</f>
        <v>2000</v>
      </c>
      <c r="H265" s="36">
        <f>'2020-2022 год Приложение  4'!I135</f>
        <v>2000</v>
      </c>
      <c r="I265" s="26"/>
      <c r="J265" s="26"/>
    </row>
    <row r="266" spans="1:10" ht="63">
      <c r="A266" s="166" t="s">
        <v>14</v>
      </c>
      <c r="B266" s="42" t="s">
        <v>137</v>
      </c>
      <c r="C266" s="42" t="s">
        <v>15</v>
      </c>
      <c r="D266" s="36">
        <f>'2020-2022 год Приложение  4'!E136</f>
        <v>1300</v>
      </c>
      <c r="E266" s="36">
        <f>'2020-2022 год Приложение  4'!F136</f>
        <v>0</v>
      </c>
      <c r="F266" s="36">
        <f>'2020-2022 год Приложение  4'!G136</f>
        <v>1300</v>
      </c>
      <c r="G266" s="36">
        <f>'2020-2022 год Приложение  4'!H136</f>
        <v>1500</v>
      </c>
      <c r="H266" s="36">
        <f>'2020-2022 год Приложение  4'!I136</f>
        <v>1500</v>
      </c>
      <c r="I266" s="26"/>
      <c r="J266" s="26"/>
    </row>
    <row r="267" spans="1:10" ht="47.25">
      <c r="A267" s="45" t="s">
        <v>453</v>
      </c>
      <c r="B267" s="42" t="s">
        <v>137</v>
      </c>
      <c r="C267" s="42" t="s">
        <v>8</v>
      </c>
      <c r="D267" s="36">
        <f>'2020-2022 год Приложение  4'!E137</f>
        <v>421.3</v>
      </c>
      <c r="E267" s="36">
        <f>'2020-2022 год Приложение  4'!F137</f>
        <v>0</v>
      </c>
      <c r="F267" s="36">
        <f>'2020-2022 год Приложение  4'!G137</f>
        <v>421.3</v>
      </c>
      <c r="G267" s="36">
        <f>'2020-2022 год Приложение  4'!H137</f>
        <v>500</v>
      </c>
      <c r="H267" s="36">
        <f>'2020-2022 год Приложение  4'!I137</f>
        <v>500</v>
      </c>
      <c r="I267" s="26"/>
      <c r="J267" s="26"/>
    </row>
    <row r="268" spans="1:10" ht="31.5">
      <c r="A268" s="22" t="s">
        <v>186</v>
      </c>
      <c r="B268" s="42" t="s">
        <v>198</v>
      </c>
      <c r="C268" s="15"/>
      <c r="D268" s="36">
        <f>'2020-2022 год Приложение  4'!E138</f>
        <v>100</v>
      </c>
      <c r="E268" s="36">
        <f>'2020-2022 год Приложение  4'!F138</f>
        <v>0</v>
      </c>
      <c r="F268" s="36">
        <f>'2020-2022 год Приложение  4'!G138</f>
        <v>100</v>
      </c>
      <c r="G268" s="36">
        <f>'2020-2022 год Приложение  4'!H138</f>
        <v>100</v>
      </c>
      <c r="H268" s="36">
        <f>'2020-2022 год Приложение  4'!I138</f>
        <v>100</v>
      </c>
      <c r="I268" s="26"/>
      <c r="J268" s="26"/>
    </row>
    <row r="269" spans="1:10" ht="31.5">
      <c r="A269" s="22" t="s">
        <v>10</v>
      </c>
      <c r="B269" s="42" t="s">
        <v>198</v>
      </c>
      <c r="C269" s="15" t="s">
        <v>11</v>
      </c>
      <c r="D269" s="36">
        <f>'2020-2022 год Приложение  4'!E139</f>
        <v>100</v>
      </c>
      <c r="E269" s="36">
        <f>'2020-2022 год Приложение  4'!F139</f>
        <v>0</v>
      </c>
      <c r="F269" s="36">
        <f>'2020-2022 год Приложение  4'!G139</f>
        <v>100</v>
      </c>
      <c r="G269" s="36">
        <f>'2020-2022 год Приложение  4'!H139</f>
        <v>100</v>
      </c>
      <c r="H269" s="36">
        <f>'2020-2022 год Приложение  4'!I139</f>
        <v>100</v>
      </c>
      <c r="I269" s="26"/>
      <c r="J269" s="26"/>
    </row>
    <row r="270" spans="1:10" ht="31.5">
      <c r="A270" s="22" t="s">
        <v>393</v>
      </c>
      <c r="B270" s="42" t="s">
        <v>437</v>
      </c>
      <c r="C270" s="15"/>
      <c r="D270" s="36">
        <f>'2020-2022 год Приложение  4'!E140</f>
        <v>387.9</v>
      </c>
      <c r="E270" s="36">
        <f>'2020-2022 год Приложение  4'!F140</f>
        <v>0</v>
      </c>
      <c r="F270" s="36">
        <f>'2020-2022 год Приложение  4'!G140</f>
        <v>387.9</v>
      </c>
      <c r="G270" s="36">
        <f>'2020-2022 год Приложение  4'!H140</f>
        <v>0</v>
      </c>
      <c r="H270" s="36">
        <f>'2020-2022 год Приложение  4'!I140</f>
        <v>0</v>
      </c>
      <c r="I270" s="26"/>
      <c r="J270" s="26"/>
    </row>
    <row r="271" spans="1:10" ht="31.5">
      <c r="A271" s="22" t="s">
        <v>10</v>
      </c>
      <c r="B271" s="42" t="s">
        <v>437</v>
      </c>
      <c r="C271" s="15" t="s">
        <v>11</v>
      </c>
      <c r="D271" s="36">
        <f>'2020-2022 год Приложение  4'!E141</f>
        <v>387.9</v>
      </c>
      <c r="E271" s="36">
        <f>'2020-2022 год Приложение  4'!F141</f>
        <v>0</v>
      </c>
      <c r="F271" s="36">
        <f>'2020-2022 год Приложение  4'!G141</f>
        <v>387.9</v>
      </c>
      <c r="G271" s="36">
        <f>'2020-2022 год Приложение  4'!H141</f>
        <v>0</v>
      </c>
      <c r="H271" s="36">
        <f>'2020-2022 год Приложение  4'!I141</f>
        <v>0</v>
      </c>
      <c r="I271" s="26"/>
      <c r="J271" s="26"/>
    </row>
    <row r="272" spans="1:10" ht="47.25">
      <c r="A272" s="22" t="s">
        <v>387</v>
      </c>
      <c r="B272" s="42" t="s">
        <v>388</v>
      </c>
      <c r="C272" s="15"/>
      <c r="D272" s="36">
        <f>'2020-2022 год Приложение  4'!E142</f>
        <v>634.9</v>
      </c>
      <c r="E272" s="36">
        <f>'2020-2022 год Приложение  4'!F142</f>
        <v>0</v>
      </c>
      <c r="F272" s="36">
        <f>'2020-2022 год Приложение  4'!G142</f>
        <v>634.9</v>
      </c>
      <c r="G272" s="36">
        <f>'2020-2022 год Приложение  4'!H142</f>
        <v>0</v>
      </c>
      <c r="H272" s="36">
        <f>'2020-2022 год Приложение  4'!I142</f>
        <v>0</v>
      </c>
      <c r="I272" s="26"/>
      <c r="J272" s="26"/>
    </row>
    <row r="273" spans="1:10" ht="31.5">
      <c r="A273" s="22" t="s">
        <v>10</v>
      </c>
      <c r="B273" s="42" t="s">
        <v>388</v>
      </c>
      <c r="C273" s="15" t="s">
        <v>11</v>
      </c>
      <c r="D273" s="36">
        <f>'2020-2022 год Приложение  4'!E143</f>
        <v>634.9</v>
      </c>
      <c r="E273" s="36">
        <f>'2020-2022 год Приложение  4'!F143</f>
        <v>0</v>
      </c>
      <c r="F273" s="36">
        <f>'2020-2022 год Приложение  4'!G143</f>
        <v>634.9</v>
      </c>
      <c r="G273" s="36">
        <f>'2020-2022 год Приложение  4'!H143</f>
        <v>0</v>
      </c>
      <c r="H273" s="36">
        <f>'2020-2022 год Приложение  4'!I143</f>
        <v>0</v>
      </c>
      <c r="I273" s="26"/>
      <c r="J273" s="26"/>
    </row>
    <row r="274" spans="1:11" ht="31.5">
      <c r="A274" s="29" t="s">
        <v>306</v>
      </c>
      <c r="B274" s="30" t="s">
        <v>147</v>
      </c>
      <c r="C274" s="30" t="s">
        <v>0</v>
      </c>
      <c r="D274" s="31">
        <f>D282+D295+D330+D275</f>
        <v>185878.5</v>
      </c>
      <c r="E274" s="31">
        <f>E282+E295+E330+E275</f>
        <v>-131</v>
      </c>
      <c r="F274" s="31">
        <f>F282+F295+F330+F275</f>
        <v>185747.5</v>
      </c>
      <c r="G274" s="31">
        <f>G282+G295+G330+G275</f>
        <v>168813.4</v>
      </c>
      <c r="H274" s="31">
        <f>H282+H295+H330+H275</f>
        <v>166871.80000000002</v>
      </c>
      <c r="I274" s="26"/>
      <c r="J274" s="26"/>
      <c r="K274" s="26"/>
    </row>
    <row r="275" spans="1:10" ht="31.5">
      <c r="A275" s="10" t="s">
        <v>307</v>
      </c>
      <c r="B275" s="81" t="s">
        <v>148</v>
      </c>
      <c r="C275" s="81"/>
      <c r="D275" s="103">
        <f>D276+D278</f>
        <v>28415.4</v>
      </c>
      <c r="E275" s="103">
        <f>E276+E278</f>
        <v>0</v>
      </c>
      <c r="F275" s="103">
        <f>F276+F278</f>
        <v>28415.4</v>
      </c>
      <c r="G275" s="103">
        <f>G276+G278</f>
        <v>23414.100000000002</v>
      </c>
      <c r="H275" s="103">
        <f>H276+H278</f>
        <v>17518.6</v>
      </c>
      <c r="I275" s="26"/>
      <c r="J275" s="26"/>
    </row>
    <row r="276" spans="1:10" ht="15.75">
      <c r="A276" s="100" t="s">
        <v>233</v>
      </c>
      <c r="B276" s="35" t="s">
        <v>232</v>
      </c>
      <c r="C276" s="35"/>
      <c r="D276" s="36">
        <f>D277</f>
        <v>7041.4</v>
      </c>
      <c r="E276" s="36">
        <f>E277</f>
        <v>0</v>
      </c>
      <c r="F276" s="36">
        <f>F277</f>
        <v>7041.4</v>
      </c>
      <c r="G276" s="36">
        <f>G277</f>
        <v>6327.7</v>
      </c>
      <c r="H276" s="36">
        <f>H277</f>
        <v>0</v>
      </c>
      <c r="I276" s="26"/>
      <c r="J276" s="26"/>
    </row>
    <row r="277" spans="1:10" ht="15.75">
      <c r="A277" s="100" t="s">
        <v>223</v>
      </c>
      <c r="B277" s="35" t="s">
        <v>232</v>
      </c>
      <c r="C277" s="35" t="s">
        <v>224</v>
      </c>
      <c r="D277" s="36">
        <f>'2020-2022 год Приложение  4'!E147</f>
        <v>7041.4</v>
      </c>
      <c r="E277" s="36">
        <f>'2020-2022 год Приложение  4'!F147</f>
        <v>0</v>
      </c>
      <c r="F277" s="36">
        <f>'2020-2022 год Приложение  4'!G147</f>
        <v>7041.4</v>
      </c>
      <c r="G277" s="36">
        <f>'2020-2022 год Приложение  4'!H147</f>
        <v>6327.7</v>
      </c>
      <c r="H277" s="36">
        <f>'2020-2022 год Приложение  4'!I147</f>
        <v>0</v>
      </c>
      <c r="I277" s="26"/>
      <c r="J277" s="26"/>
    </row>
    <row r="278" spans="1:10" ht="31.5">
      <c r="A278" s="53" t="s">
        <v>13</v>
      </c>
      <c r="B278" s="15" t="s">
        <v>149</v>
      </c>
      <c r="C278" s="21"/>
      <c r="D278" s="20">
        <f>SUM(D279:D281)</f>
        <v>21374</v>
      </c>
      <c r="E278" s="20">
        <f>SUM(E279:E281)</f>
        <v>0</v>
      </c>
      <c r="F278" s="20">
        <f>SUM(F279:F281)</f>
        <v>21374</v>
      </c>
      <c r="G278" s="20">
        <f>SUM(G279:G281)</f>
        <v>17086.4</v>
      </c>
      <c r="H278" s="20">
        <f>SUM(H279:H281)</f>
        <v>17518.6</v>
      </c>
      <c r="I278" s="26"/>
      <c r="J278" s="26"/>
    </row>
    <row r="279" spans="1:10" ht="63">
      <c r="A279" s="52" t="s">
        <v>14</v>
      </c>
      <c r="B279" s="15" t="s">
        <v>149</v>
      </c>
      <c r="C279" s="42" t="s">
        <v>15</v>
      </c>
      <c r="D279" s="20">
        <f>'2020-2022 год Приложение  4'!E456</f>
        <v>19945</v>
      </c>
      <c r="E279" s="20">
        <f>'2020-2022 год Приложение  4'!F456</f>
        <v>0</v>
      </c>
      <c r="F279" s="20">
        <f>'2020-2022 год Приложение  4'!G456</f>
        <v>19945</v>
      </c>
      <c r="G279" s="20">
        <f>'2020-2022 год Приложение  4'!H456</f>
        <v>17086.4</v>
      </c>
      <c r="H279" s="20">
        <f>'2020-2022 год Приложение  4'!I456</f>
        <v>17518.6</v>
      </c>
      <c r="I279" s="26"/>
      <c r="J279" s="26"/>
    </row>
    <row r="280" spans="1:10" ht="47.25">
      <c r="A280" s="45" t="s">
        <v>453</v>
      </c>
      <c r="B280" s="15" t="s">
        <v>149</v>
      </c>
      <c r="C280" s="42" t="s">
        <v>8</v>
      </c>
      <c r="D280" s="20">
        <f>'2020-2022 год Приложение  4'!E457</f>
        <v>1402.6999999999998</v>
      </c>
      <c r="E280" s="20">
        <f>'2020-2022 год Приложение  4'!F457</f>
        <v>0</v>
      </c>
      <c r="F280" s="20">
        <f>'2020-2022 год Приложение  4'!G457</f>
        <v>1402.6999999999998</v>
      </c>
      <c r="G280" s="20">
        <f>'2020-2022 год Приложение  4'!H457</f>
        <v>0</v>
      </c>
      <c r="H280" s="20">
        <f>'2020-2022 год Приложение  4'!I457</f>
        <v>0</v>
      </c>
      <c r="I280" s="26"/>
      <c r="J280" s="26"/>
    </row>
    <row r="281" spans="1:10" ht="15.75">
      <c r="A281" s="45" t="s">
        <v>9</v>
      </c>
      <c r="B281" s="15" t="s">
        <v>149</v>
      </c>
      <c r="C281" s="42" t="s">
        <v>12</v>
      </c>
      <c r="D281" s="20">
        <f>'2020-2022 год Приложение  4'!E458</f>
        <v>26.3</v>
      </c>
      <c r="E281" s="20">
        <f>'2020-2022 год Приложение  4'!F458</f>
        <v>0</v>
      </c>
      <c r="F281" s="20">
        <f>'2020-2022 год Приложение  4'!G458</f>
        <v>26.3</v>
      </c>
      <c r="G281" s="20">
        <f>'2020-2022 год Приложение  4'!H458</f>
        <v>0</v>
      </c>
      <c r="H281" s="20">
        <f>'2020-2022 год Приложение  4'!I458</f>
        <v>0</v>
      </c>
      <c r="I281" s="26"/>
      <c r="J281" s="26"/>
    </row>
    <row r="282" spans="1:10" ht="15.75">
      <c r="A282" s="10" t="s">
        <v>308</v>
      </c>
      <c r="B282" s="11" t="s">
        <v>150</v>
      </c>
      <c r="C282" s="11" t="s">
        <v>0</v>
      </c>
      <c r="D282" s="12">
        <f>D283+D285+D287+D291</f>
        <v>29871.9</v>
      </c>
      <c r="E282" s="12">
        <f>E283+E285+E287+E291</f>
        <v>-56</v>
      </c>
      <c r="F282" s="12">
        <f>F283+F285+F287+F291</f>
        <v>29815.9</v>
      </c>
      <c r="G282" s="12">
        <f>G283+G285+G287+G291</f>
        <v>26692.200000000004</v>
      </c>
      <c r="H282" s="12">
        <f>H283+H285+H287+H291</f>
        <v>27463</v>
      </c>
      <c r="I282" s="26"/>
      <c r="J282" s="26"/>
    </row>
    <row r="283" spans="1:10" ht="47.25">
      <c r="A283" s="16" t="s">
        <v>55</v>
      </c>
      <c r="B283" s="15" t="s">
        <v>151</v>
      </c>
      <c r="C283" s="7"/>
      <c r="D283" s="8">
        <f>D284</f>
        <v>2152.6</v>
      </c>
      <c r="E283" s="8">
        <f>E284</f>
        <v>0</v>
      </c>
      <c r="F283" s="8">
        <f>F284</f>
        <v>2152.6</v>
      </c>
      <c r="G283" s="8">
        <f>G284</f>
        <v>1200</v>
      </c>
      <c r="H283" s="8">
        <f>H284</f>
        <v>1200</v>
      </c>
      <c r="I283" s="26"/>
      <c r="J283" s="26"/>
    </row>
    <row r="284" spans="1:10" ht="47.25">
      <c r="A284" s="45" t="s">
        <v>453</v>
      </c>
      <c r="B284" s="15" t="s">
        <v>151</v>
      </c>
      <c r="C284" s="42" t="s">
        <v>8</v>
      </c>
      <c r="D284" s="20">
        <f>'2020-2022 год Приложение  4'!E352</f>
        <v>2152.6</v>
      </c>
      <c r="E284" s="20">
        <f>'2020-2022 год Приложение  4'!F352</f>
        <v>0</v>
      </c>
      <c r="F284" s="20">
        <f>'2020-2022 год Приложение  4'!G352</f>
        <v>2152.6</v>
      </c>
      <c r="G284" s="20">
        <f>'2020-2022 год Приложение  4'!H352</f>
        <v>1200</v>
      </c>
      <c r="H284" s="20">
        <f>'2020-2022 год Приложение  4'!I352</f>
        <v>1200</v>
      </c>
      <c r="I284" s="26"/>
      <c r="J284" s="26"/>
    </row>
    <row r="285" spans="1:10" ht="23.25" customHeight="1">
      <c r="A285" s="53" t="s">
        <v>17</v>
      </c>
      <c r="B285" s="15" t="s">
        <v>152</v>
      </c>
      <c r="C285" s="21"/>
      <c r="D285" s="20">
        <f>D286</f>
        <v>250</v>
      </c>
      <c r="E285" s="20">
        <f>E286</f>
        <v>0</v>
      </c>
      <c r="F285" s="20">
        <f>F286</f>
        <v>250</v>
      </c>
      <c r="G285" s="20">
        <f>G286</f>
        <v>150</v>
      </c>
      <c r="H285" s="20">
        <f>H286</f>
        <v>150</v>
      </c>
      <c r="I285" s="26"/>
      <c r="J285" s="26"/>
    </row>
    <row r="286" spans="1:10" ht="47.25">
      <c r="A286" s="45" t="s">
        <v>453</v>
      </c>
      <c r="B286" s="15" t="s">
        <v>152</v>
      </c>
      <c r="C286" s="42" t="s">
        <v>8</v>
      </c>
      <c r="D286" s="20">
        <f>'2020-2022 год Приложение  4'!E354</f>
        <v>250</v>
      </c>
      <c r="E286" s="20">
        <f>'2020-2022 год Приложение  4'!F354</f>
        <v>0</v>
      </c>
      <c r="F286" s="20">
        <f>'2020-2022 год Приложение  4'!G354</f>
        <v>250</v>
      </c>
      <c r="G286" s="20">
        <f>'2020-2022 год Приложение  4'!H354</f>
        <v>150</v>
      </c>
      <c r="H286" s="20">
        <f>'2020-2022 год Приложение  4'!I354</f>
        <v>150</v>
      </c>
      <c r="I286" s="26"/>
      <c r="J286" s="26"/>
    </row>
    <row r="287" spans="1:10" ht="31.5">
      <c r="A287" s="53" t="s">
        <v>13</v>
      </c>
      <c r="B287" s="15" t="s">
        <v>153</v>
      </c>
      <c r="C287" s="21"/>
      <c r="D287" s="20">
        <f>SUM(D288:D290)</f>
        <v>19852.100000000002</v>
      </c>
      <c r="E287" s="20">
        <f>SUM(E288:E290)</f>
        <v>0</v>
      </c>
      <c r="F287" s="20">
        <f>SUM(F288:F290)</f>
        <v>19852.100000000002</v>
      </c>
      <c r="G287" s="20">
        <f>SUM(G288:G290)</f>
        <v>19329.100000000002</v>
      </c>
      <c r="H287" s="20">
        <f>SUM(H288:H290)</f>
        <v>19329.100000000002</v>
      </c>
      <c r="I287" s="26"/>
      <c r="J287" s="26"/>
    </row>
    <row r="288" spans="1:10" ht="63">
      <c r="A288" s="52" t="s">
        <v>14</v>
      </c>
      <c r="B288" s="15" t="s">
        <v>153</v>
      </c>
      <c r="C288" s="42" t="s">
        <v>15</v>
      </c>
      <c r="D288" s="20">
        <f>'2020-2022 год Приложение  4'!E356</f>
        <v>17883.7</v>
      </c>
      <c r="E288" s="20">
        <f>'2020-2022 год Приложение  4'!F356</f>
        <v>0</v>
      </c>
      <c r="F288" s="20">
        <f>'2020-2022 год Приложение  4'!G356</f>
        <v>17883.7</v>
      </c>
      <c r="G288" s="20">
        <f>'2020-2022 год Приложение  4'!H356</f>
        <v>17683.7</v>
      </c>
      <c r="H288" s="20">
        <f>'2020-2022 год Приложение  4'!I356</f>
        <v>17683.7</v>
      </c>
      <c r="I288" s="26"/>
      <c r="J288" s="26"/>
    </row>
    <row r="289" spans="1:10" ht="47.25">
      <c r="A289" s="45" t="s">
        <v>453</v>
      </c>
      <c r="B289" s="15" t="s">
        <v>153</v>
      </c>
      <c r="C289" s="42" t="s">
        <v>8</v>
      </c>
      <c r="D289" s="20">
        <f>'2020-2022 год Приложение  4'!E357</f>
        <v>1953.4</v>
      </c>
      <c r="E289" s="20">
        <f>'2020-2022 год Приложение  4'!F357</f>
        <v>0</v>
      </c>
      <c r="F289" s="20">
        <f>'2020-2022 год Приложение  4'!G357</f>
        <v>1953.4</v>
      </c>
      <c r="G289" s="20">
        <f>'2020-2022 год Приложение  4'!H357</f>
        <v>1630.4</v>
      </c>
      <c r="H289" s="20">
        <f>'2020-2022 год Приложение  4'!I357</f>
        <v>1630.4</v>
      </c>
      <c r="I289" s="26"/>
      <c r="J289" s="26"/>
    </row>
    <row r="290" spans="1:10" ht="15.75">
      <c r="A290" s="45" t="s">
        <v>9</v>
      </c>
      <c r="B290" s="15" t="s">
        <v>153</v>
      </c>
      <c r="C290" s="42" t="s">
        <v>12</v>
      </c>
      <c r="D290" s="20">
        <f>'2020-2022 год Приложение  4'!E358</f>
        <v>15</v>
      </c>
      <c r="E290" s="20">
        <f>'2020-2022 год Приложение  4'!F358</f>
        <v>0</v>
      </c>
      <c r="F290" s="20">
        <f>'2020-2022 год Приложение  4'!G358</f>
        <v>15</v>
      </c>
      <c r="G290" s="20">
        <f>'2020-2022 год Приложение  4'!H358</f>
        <v>15</v>
      </c>
      <c r="H290" s="20">
        <f>'2020-2022 год Приложение  4'!I358</f>
        <v>15</v>
      </c>
      <c r="I290" s="26"/>
      <c r="J290" s="26"/>
    </row>
    <row r="291" spans="1:10" ht="15.75">
      <c r="A291" s="53" t="s">
        <v>47</v>
      </c>
      <c r="B291" s="15" t="s">
        <v>154</v>
      </c>
      <c r="C291" s="21"/>
      <c r="D291" s="20">
        <f>SUM(D292:D294)</f>
        <v>7617.2</v>
      </c>
      <c r="E291" s="20">
        <f>SUM(E292:E294)</f>
        <v>-56</v>
      </c>
      <c r="F291" s="20">
        <f>SUM(F292:F294)</f>
        <v>7561.2</v>
      </c>
      <c r="G291" s="20">
        <f>SUM(G292:G294)</f>
        <v>6013.1</v>
      </c>
      <c r="H291" s="20">
        <f>SUM(H292:H294)</f>
        <v>6783.9</v>
      </c>
      <c r="I291" s="26"/>
      <c r="J291" s="26"/>
    </row>
    <row r="292" spans="1:10" ht="63">
      <c r="A292" s="44" t="s">
        <v>14</v>
      </c>
      <c r="B292" s="15" t="s">
        <v>154</v>
      </c>
      <c r="C292" s="21" t="s">
        <v>15</v>
      </c>
      <c r="D292" s="20">
        <f>'2020-2022 год Приложение  4'!E360</f>
        <v>3243.9</v>
      </c>
      <c r="E292" s="20">
        <f>'2020-2022 год Приложение  4'!F360</f>
        <v>0</v>
      </c>
      <c r="F292" s="20">
        <f>'2020-2022 год Приложение  4'!G360</f>
        <v>3243.9</v>
      </c>
      <c r="G292" s="20">
        <f>'2020-2022 год Приложение  4'!H360</f>
        <v>3243.9</v>
      </c>
      <c r="H292" s="20">
        <f>'2020-2022 год Приложение  4'!I360</f>
        <v>3243.9</v>
      </c>
      <c r="I292" s="26"/>
      <c r="J292" s="26"/>
    </row>
    <row r="293" spans="1:10" ht="47.25">
      <c r="A293" s="45" t="s">
        <v>453</v>
      </c>
      <c r="B293" s="15" t="s">
        <v>154</v>
      </c>
      <c r="C293" s="42" t="s">
        <v>8</v>
      </c>
      <c r="D293" s="20">
        <f>'2020-2022 год Приложение  4'!E361</f>
        <v>3706.6</v>
      </c>
      <c r="E293" s="20">
        <f>'2020-2022 год Приложение  4'!F361</f>
        <v>-56</v>
      </c>
      <c r="F293" s="20">
        <f>'2020-2022 год Приложение  4'!G361</f>
        <v>3650.6</v>
      </c>
      <c r="G293" s="20">
        <f>'2020-2022 год Приложение  4'!H361</f>
        <v>2069.2</v>
      </c>
      <c r="H293" s="20">
        <f>'2020-2022 год Приложение  4'!I361</f>
        <v>2840</v>
      </c>
      <c r="I293" s="26"/>
      <c r="J293" s="26"/>
    </row>
    <row r="294" spans="1:10" ht="15.75">
      <c r="A294" s="45" t="s">
        <v>9</v>
      </c>
      <c r="B294" s="15" t="s">
        <v>154</v>
      </c>
      <c r="C294" s="42" t="s">
        <v>12</v>
      </c>
      <c r="D294" s="20">
        <f>'2020-2022 год Приложение  4'!E362</f>
        <v>666.7</v>
      </c>
      <c r="E294" s="20">
        <f>'2020-2022 год Приложение  4'!F362</f>
        <v>0</v>
      </c>
      <c r="F294" s="20">
        <f>'2020-2022 год Приложение  4'!G362</f>
        <v>666.7</v>
      </c>
      <c r="G294" s="20">
        <f>'2020-2022 год Приложение  4'!H362</f>
        <v>700</v>
      </c>
      <c r="H294" s="20">
        <f>'2020-2022 год Приложение  4'!I362</f>
        <v>700</v>
      </c>
      <c r="I294" s="26"/>
      <c r="J294" s="26"/>
    </row>
    <row r="295" spans="1:11" ht="15.75">
      <c r="A295" s="10" t="s">
        <v>309</v>
      </c>
      <c r="B295" s="11" t="s">
        <v>155</v>
      </c>
      <c r="C295" s="11" t="s">
        <v>0</v>
      </c>
      <c r="D295" s="12">
        <f>D296+D298+D303+D310+D316+D319+D322+D325+D307+D328+D313</f>
        <v>124691.8</v>
      </c>
      <c r="E295" s="12">
        <f>E296+E298+E303+E310+E316+E319+E322+E325+E307+E328+E313</f>
        <v>-75</v>
      </c>
      <c r="F295" s="12">
        <f>F296+F298+F303+F310+F316+F319+F322+F325+F307+F328+F313</f>
        <v>124616.8</v>
      </c>
      <c r="G295" s="12">
        <f>G296+G298+G303+G310+G316+G319+G322+G325+G307+G328+G313</f>
        <v>116948.7</v>
      </c>
      <c r="H295" s="12">
        <f>H296+H298+H303+H310+H316+H319+H322+H325+H307+H328+H313</f>
        <v>120131.80000000002</v>
      </c>
      <c r="I295" s="26"/>
      <c r="J295" s="26"/>
      <c r="K295" s="26"/>
    </row>
    <row r="296" spans="1:10" ht="31.5">
      <c r="A296" s="16" t="s">
        <v>19</v>
      </c>
      <c r="B296" s="15" t="s">
        <v>156</v>
      </c>
      <c r="C296" s="7"/>
      <c r="D296" s="8">
        <f>D297</f>
        <v>200</v>
      </c>
      <c r="E296" s="8">
        <f>E297</f>
        <v>0</v>
      </c>
      <c r="F296" s="8">
        <f>F297</f>
        <v>200</v>
      </c>
      <c r="G296" s="8">
        <f>G297</f>
        <v>200</v>
      </c>
      <c r="H296" s="8">
        <f>H297</f>
        <v>200</v>
      </c>
      <c r="I296" s="26"/>
      <c r="J296" s="26"/>
    </row>
    <row r="297" spans="1:10" ht="47.25">
      <c r="A297" s="45" t="s">
        <v>453</v>
      </c>
      <c r="B297" s="15" t="s">
        <v>156</v>
      </c>
      <c r="C297" s="27" t="s">
        <v>8</v>
      </c>
      <c r="D297" s="36">
        <f>'2020-2022 год Приложение  4'!E150</f>
        <v>200</v>
      </c>
      <c r="E297" s="36">
        <f>'2020-2022 год Приложение  4'!F150</f>
        <v>0</v>
      </c>
      <c r="F297" s="36">
        <f>'2020-2022 год Приложение  4'!G150</f>
        <v>200</v>
      </c>
      <c r="G297" s="36">
        <f>'2020-2022 год Приложение  4'!H150</f>
        <v>200</v>
      </c>
      <c r="H297" s="36">
        <f>'2020-2022 год Приложение  4'!I150</f>
        <v>200</v>
      </c>
      <c r="I297" s="26"/>
      <c r="J297" s="26"/>
    </row>
    <row r="298" spans="1:10" ht="31.5">
      <c r="A298" s="167" t="s">
        <v>13</v>
      </c>
      <c r="B298" s="15" t="s">
        <v>157</v>
      </c>
      <c r="C298" s="35"/>
      <c r="D298" s="36">
        <f>SUM(D299:D302)</f>
        <v>108868.00000000001</v>
      </c>
      <c r="E298" s="36">
        <f>SUM(E299:E302)</f>
        <v>-275</v>
      </c>
      <c r="F298" s="36">
        <f>SUM(F299:F302)</f>
        <v>108593.00000000001</v>
      </c>
      <c r="G298" s="36">
        <f>SUM(G299:G302)</f>
        <v>102002.1</v>
      </c>
      <c r="H298" s="36">
        <f>SUM(H299:H302)</f>
        <v>104553.5</v>
      </c>
      <c r="I298" s="26"/>
      <c r="J298" s="26"/>
    </row>
    <row r="299" spans="1:10" ht="63">
      <c r="A299" s="62" t="s">
        <v>14</v>
      </c>
      <c r="B299" s="15" t="s">
        <v>157</v>
      </c>
      <c r="C299" s="27" t="s">
        <v>15</v>
      </c>
      <c r="D299" s="36">
        <f>'2020-2022 год Приложение  4'!E152</f>
        <v>89285.8</v>
      </c>
      <c r="E299" s="36">
        <f>'2020-2022 год Приложение  4'!F152</f>
        <v>-275</v>
      </c>
      <c r="F299" s="36">
        <f>'2020-2022 год Приложение  4'!G152</f>
        <v>89010.8</v>
      </c>
      <c r="G299" s="36">
        <f>'2020-2022 год Приложение  4'!H152</f>
        <v>87968.3</v>
      </c>
      <c r="H299" s="36">
        <f>'2020-2022 год Приложение  4'!I152</f>
        <v>90854.5</v>
      </c>
      <c r="I299" s="26"/>
      <c r="J299" s="26"/>
    </row>
    <row r="300" spans="1:10" ht="47.25">
      <c r="A300" s="45" t="s">
        <v>453</v>
      </c>
      <c r="B300" s="15" t="s">
        <v>157</v>
      </c>
      <c r="C300" s="27" t="s">
        <v>8</v>
      </c>
      <c r="D300" s="36">
        <f>'2020-2022 год Приложение  4'!E153</f>
        <v>9130.6</v>
      </c>
      <c r="E300" s="36">
        <f>'2020-2022 год Приложение  4'!F153</f>
        <v>0</v>
      </c>
      <c r="F300" s="36">
        <f>'2020-2022 год Приложение  4'!G153</f>
        <v>9130.6</v>
      </c>
      <c r="G300" s="36">
        <f>'2020-2022 год Приложение  4'!H153</f>
        <v>4640.1</v>
      </c>
      <c r="H300" s="36">
        <f>'2020-2022 год Приложение  4'!I153</f>
        <v>4305.3</v>
      </c>
      <c r="I300" s="26"/>
      <c r="J300" s="26"/>
    </row>
    <row r="301" spans="1:10" ht="15.75">
      <c r="A301" s="61" t="s">
        <v>66</v>
      </c>
      <c r="B301" s="15" t="s">
        <v>157</v>
      </c>
      <c r="C301" s="27" t="s">
        <v>16</v>
      </c>
      <c r="D301" s="36">
        <f>'2020-2022 год Приложение  4'!E154</f>
        <v>10122.8</v>
      </c>
      <c r="E301" s="36">
        <f>'2020-2022 год Приложение  4'!F154</f>
        <v>0</v>
      </c>
      <c r="F301" s="36">
        <f>'2020-2022 год Приложение  4'!G154</f>
        <v>10122.8</v>
      </c>
      <c r="G301" s="36">
        <f>'2020-2022 год Приложение  4'!H154</f>
        <v>9065.7</v>
      </c>
      <c r="H301" s="36">
        <f>'2020-2022 год Приложение  4'!I154</f>
        <v>9065.7</v>
      </c>
      <c r="I301" s="26"/>
      <c r="J301" s="26"/>
    </row>
    <row r="302" spans="1:10" ht="15.75">
      <c r="A302" s="55" t="s">
        <v>9</v>
      </c>
      <c r="B302" s="15" t="s">
        <v>157</v>
      </c>
      <c r="C302" s="27" t="s">
        <v>12</v>
      </c>
      <c r="D302" s="36">
        <f>'2020-2022 год Приложение  4'!E155</f>
        <v>328.8</v>
      </c>
      <c r="E302" s="36">
        <f>'2020-2022 год Приложение  4'!F155</f>
        <v>0</v>
      </c>
      <c r="F302" s="36">
        <f>'2020-2022 год Приложение  4'!G155</f>
        <v>328.8</v>
      </c>
      <c r="G302" s="36">
        <f>'2020-2022 год Приложение  4'!H155</f>
        <v>328</v>
      </c>
      <c r="H302" s="36">
        <f>'2020-2022 год Приложение  4'!I155</f>
        <v>328</v>
      </c>
      <c r="I302" s="26"/>
      <c r="J302" s="26"/>
    </row>
    <row r="303" spans="1:10" ht="31.5">
      <c r="A303" s="16" t="s">
        <v>53</v>
      </c>
      <c r="B303" s="15" t="s">
        <v>158</v>
      </c>
      <c r="C303" s="7"/>
      <c r="D303" s="8">
        <f>D305+D304+D306</f>
        <v>9656.6</v>
      </c>
      <c r="E303" s="8">
        <f>E305+E304+E306</f>
        <v>0</v>
      </c>
      <c r="F303" s="8">
        <f>F305+F304+F306</f>
        <v>9656.6</v>
      </c>
      <c r="G303" s="8">
        <f>G305+G304+G306</f>
        <v>9656.6</v>
      </c>
      <c r="H303" s="8">
        <f>H305+H304+H306</f>
        <v>9656.6</v>
      </c>
      <c r="I303" s="26"/>
      <c r="J303" s="26"/>
    </row>
    <row r="304" spans="1:10" ht="63">
      <c r="A304" s="55" t="s">
        <v>14</v>
      </c>
      <c r="B304" s="15" t="s">
        <v>158</v>
      </c>
      <c r="C304" s="27" t="s">
        <v>15</v>
      </c>
      <c r="D304" s="36">
        <f>'2020-2022 год Приложение  4'!E157</f>
        <v>9095.1</v>
      </c>
      <c r="E304" s="36">
        <f>'2020-2022 год Приложение  4'!F157</f>
        <v>0</v>
      </c>
      <c r="F304" s="36">
        <f>'2020-2022 год Приложение  4'!G157</f>
        <v>9095.1</v>
      </c>
      <c r="G304" s="36">
        <f>'2020-2022 год Приложение  4'!H157</f>
        <v>9095.1</v>
      </c>
      <c r="H304" s="36">
        <f>'2020-2022 год Приложение  4'!I157</f>
        <v>9095.1</v>
      </c>
      <c r="I304" s="26"/>
      <c r="J304" s="26"/>
    </row>
    <row r="305" spans="1:10" ht="47.25">
      <c r="A305" s="45" t="s">
        <v>453</v>
      </c>
      <c r="B305" s="15" t="s">
        <v>158</v>
      </c>
      <c r="C305" s="27" t="s">
        <v>8</v>
      </c>
      <c r="D305" s="36">
        <f>'2020-2022 год Приложение  4'!E158</f>
        <v>500</v>
      </c>
      <c r="E305" s="36">
        <f>'2020-2022 год Приложение  4'!F158</f>
        <v>0</v>
      </c>
      <c r="F305" s="36">
        <f>'2020-2022 год Приложение  4'!G158</f>
        <v>500</v>
      </c>
      <c r="G305" s="36">
        <f>'2020-2022 год Приложение  4'!H158</f>
        <v>500</v>
      </c>
      <c r="H305" s="36">
        <f>'2020-2022 год Приложение  4'!I158</f>
        <v>500</v>
      </c>
      <c r="I305" s="26"/>
      <c r="J305" s="26"/>
    </row>
    <row r="306" spans="1:10" ht="15.75">
      <c r="A306" s="55" t="s">
        <v>9</v>
      </c>
      <c r="B306" s="15" t="s">
        <v>158</v>
      </c>
      <c r="C306" s="27" t="s">
        <v>12</v>
      </c>
      <c r="D306" s="36">
        <f>'2020-2022 год Приложение  4'!E159</f>
        <v>61.5</v>
      </c>
      <c r="E306" s="36">
        <f>'2020-2022 год Приложение  4'!F159</f>
        <v>0</v>
      </c>
      <c r="F306" s="36">
        <f>'2020-2022 год Приложение  4'!G159</f>
        <v>61.5</v>
      </c>
      <c r="G306" s="36">
        <f>'2020-2022 год Приложение  4'!H159</f>
        <v>61.5</v>
      </c>
      <c r="H306" s="36">
        <f>'2020-2022 год Приложение  4'!I159</f>
        <v>61.5</v>
      </c>
      <c r="I306" s="26"/>
      <c r="J306" s="26"/>
    </row>
    <row r="307" spans="1:12" ht="84" customHeight="1">
      <c r="A307" s="64" t="s">
        <v>250</v>
      </c>
      <c r="B307" s="27" t="s">
        <v>184</v>
      </c>
      <c r="C307" s="27"/>
      <c r="D307" s="37">
        <f>D308+D309</f>
        <v>25.1</v>
      </c>
      <c r="E307" s="37">
        <f>E308+E309</f>
        <v>0</v>
      </c>
      <c r="F307" s="37">
        <f>F308+F309</f>
        <v>25.1</v>
      </c>
      <c r="G307" s="37">
        <f>G308+G309</f>
        <v>25.700000000000003</v>
      </c>
      <c r="H307" s="37">
        <f>H308+H309</f>
        <v>26.700000000000003</v>
      </c>
      <c r="I307" s="26"/>
      <c r="J307" s="26"/>
      <c r="K307" s="26"/>
      <c r="L307" s="110"/>
    </row>
    <row r="308" spans="1:10" ht="63">
      <c r="A308" s="44" t="s">
        <v>14</v>
      </c>
      <c r="B308" s="27" t="s">
        <v>184</v>
      </c>
      <c r="C308" s="27" t="s">
        <v>15</v>
      </c>
      <c r="D308" s="37">
        <f>'2020-2022 год Приложение  4'!E161</f>
        <v>17.1</v>
      </c>
      <c r="E308" s="37">
        <f>'2020-2022 год Приложение  4'!F161</f>
        <v>0</v>
      </c>
      <c r="F308" s="37">
        <f>'2020-2022 год Приложение  4'!G161</f>
        <v>17.1</v>
      </c>
      <c r="G308" s="37">
        <f>'2020-2022 год Приложение  4'!H161</f>
        <v>17.700000000000003</v>
      </c>
      <c r="H308" s="37">
        <f>'2020-2022 год Приложение  4'!I161</f>
        <v>18.700000000000003</v>
      </c>
      <c r="I308" s="26"/>
      <c r="J308" s="26"/>
    </row>
    <row r="309" spans="1:10" ht="47.25">
      <c r="A309" s="45" t="s">
        <v>453</v>
      </c>
      <c r="B309" s="27" t="s">
        <v>184</v>
      </c>
      <c r="C309" s="27" t="s">
        <v>8</v>
      </c>
      <c r="D309" s="37">
        <f>'2020-2022 год Приложение  4'!E162</f>
        <v>8</v>
      </c>
      <c r="E309" s="37">
        <f>'2020-2022 год Приложение  4'!F162</f>
        <v>0</v>
      </c>
      <c r="F309" s="37">
        <f>'2020-2022 год Приложение  4'!G162</f>
        <v>8</v>
      </c>
      <c r="G309" s="37">
        <f>'2020-2022 год Приложение  4'!H162</f>
        <v>8</v>
      </c>
      <c r="H309" s="37">
        <f>'2020-2022 год Приложение  4'!I162</f>
        <v>8</v>
      </c>
      <c r="I309" s="26"/>
      <c r="J309" s="26"/>
    </row>
    <row r="310" spans="1:12" ht="115.5" customHeight="1">
      <c r="A310" s="38" t="s">
        <v>366</v>
      </c>
      <c r="B310" s="27" t="s">
        <v>164</v>
      </c>
      <c r="C310" s="35"/>
      <c r="D310" s="37">
        <f>D311+D312</f>
        <v>15.9</v>
      </c>
      <c r="E310" s="37">
        <f>E311+E312</f>
        <v>0</v>
      </c>
      <c r="F310" s="37">
        <f>F311+F312</f>
        <v>15.9</v>
      </c>
      <c r="G310" s="37">
        <f>G311+G312</f>
        <v>16.400000000000002</v>
      </c>
      <c r="H310" s="37">
        <f>H311+H312</f>
        <v>17</v>
      </c>
      <c r="I310" s="26"/>
      <c r="J310" s="26"/>
      <c r="L310" s="110"/>
    </row>
    <row r="311" spans="1:10" ht="63">
      <c r="A311" s="63" t="s">
        <v>14</v>
      </c>
      <c r="B311" s="27" t="s">
        <v>164</v>
      </c>
      <c r="C311" s="27" t="s">
        <v>15</v>
      </c>
      <c r="D311" s="37">
        <f>'2020-2022 год Приложение  4'!E164</f>
        <v>15.6</v>
      </c>
      <c r="E311" s="37">
        <f>'2020-2022 год Приложение  4'!F164</f>
        <v>0</v>
      </c>
      <c r="F311" s="37">
        <f>'2020-2022 год Приложение  4'!G164</f>
        <v>15.6</v>
      </c>
      <c r="G311" s="37">
        <f>'2020-2022 год Приложение  4'!H164</f>
        <v>16.1</v>
      </c>
      <c r="H311" s="37">
        <f>'2020-2022 год Приложение  4'!I164</f>
        <v>16.7</v>
      </c>
      <c r="I311" s="26"/>
      <c r="J311" s="26"/>
    </row>
    <row r="312" spans="1:10" ht="47.25">
      <c r="A312" s="45" t="s">
        <v>453</v>
      </c>
      <c r="B312" s="27" t="s">
        <v>164</v>
      </c>
      <c r="C312" s="27" t="s">
        <v>8</v>
      </c>
      <c r="D312" s="37">
        <f>'2020-2022 год Приложение  4'!E165</f>
        <v>0.3</v>
      </c>
      <c r="E312" s="37">
        <f>'2020-2022 год Приложение  4'!F165</f>
        <v>0</v>
      </c>
      <c r="F312" s="37">
        <f>'2020-2022 год Приложение  4'!G165</f>
        <v>0.3</v>
      </c>
      <c r="G312" s="37">
        <f>'2020-2022 год Приложение  4'!H165</f>
        <v>0.3</v>
      </c>
      <c r="H312" s="37">
        <f>'2020-2022 год Приложение  4'!I165</f>
        <v>0.3</v>
      </c>
      <c r="I312" s="26"/>
      <c r="J312" s="26"/>
    </row>
    <row r="313" spans="1:10" ht="63">
      <c r="A313" s="22" t="s">
        <v>364</v>
      </c>
      <c r="B313" s="27" t="s">
        <v>365</v>
      </c>
      <c r="C313" s="42"/>
      <c r="D313" s="37">
        <f>D314+D315</f>
        <v>63.5</v>
      </c>
      <c r="E313" s="37">
        <f>E314+E315</f>
        <v>0</v>
      </c>
      <c r="F313" s="37">
        <f>F314+F315</f>
        <v>63.5</v>
      </c>
      <c r="G313" s="37">
        <f>G314+G315</f>
        <v>65.60000000000001</v>
      </c>
      <c r="H313" s="37">
        <f>H314+H315</f>
        <v>68.10000000000001</v>
      </c>
      <c r="I313" s="26"/>
      <c r="J313" s="26"/>
    </row>
    <row r="314" spans="1:10" ht="63">
      <c r="A314" s="22" t="s">
        <v>14</v>
      </c>
      <c r="B314" s="27" t="s">
        <v>365</v>
      </c>
      <c r="C314" s="42" t="s">
        <v>15</v>
      </c>
      <c r="D314" s="37">
        <f>'2020-2022 год Приложение  4'!E167</f>
        <v>62.3</v>
      </c>
      <c r="E314" s="37">
        <f>'2020-2022 год Приложение  4'!F167</f>
        <v>0</v>
      </c>
      <c r="F314" s="37">
        <f>'2020-2022 год Приложение  4'!G167</f>
        <v>62.3</v>
      </c>
      <c r="G314" s="37">
        <f>'2020-2022 год Приложение  4'!H167</f>
        <v>64.4</v>
      </c>
      <c r="H314" s="37">
        <f>'2020-2022 год Приложение  4'!I167</f>
        <v>66.9</v>
      </c>
      <c r="I314" s="26"/>
      <c r="J314" s="26"/>
    </row>
    <row r="315" spans="1:10" ht="47.25">
      <c r="A315" s="45" t="s">
        <v>453</v>
      </c>
      <c r="B315" s="27" t="s">
        <v>365</v>
      </c>
      <c r="C315" s="42" t="s">
        <v>8</v>
      </c>
      <c r="D315" s="37">
        <f>'2020-2022 год Приложение  4'!E168</f>
        <v>1.2</v>
      </c>
      <c r="E315" s="37">
        <f>'2020-2022 год Приложение  4'!F168</f>
        <v>0</v>
      </c>
      <c r="F315" s="37">
        <f>'2020-2022 год Приложение  4'!G168</f>
        <v>1.2</v>
      </c>
      <c r="G315" s="37">
        <f>'2020-2022 год Приложение  4'!H168</f>
        <v>1.2</v>
      </c>
      <c r="H315" s="37">
        <f>'2020-2022 год Приложение  4'!I168</f>
        <v>1.2</v>
      </c>
      <c r="I315" s="26"/>
      <c r="J315" s="26"/>
    </row>
    <row r="316" spans="1:12" ht="63">
      <c r="A316" s="39" t="s">
        <v>220</v>
      </c>
      <c r="B316" s="27" t="s">
        <v>165</v>
      </c>
      <c r="C316" s="35"/>
      <c r="D316" s="37">
        <f>D317+D318</f>
        <v>82.9</v>
      </c>
      <c r="E316" s="37">
        <f>E317+E318</f>
        <v>0</v>
      </c>
      <c r="F316" s="37">
        <f>F317+F318</f>
        <v>82.9</v>
      </c>
      <c r="G316" s="37">
        <f>G317+G318</f>
        <v>85.4</v>
      </c>
      <c r="H316" s="37">
        <f>H317+H318</f>
        <v>88.6</v>
      </c>
      <c r="I316" s="26"/>
      <c r="J316" s="26"/>
      <c r="L316" s="110"/>
    </row>
    <row r="317" spans="1:10" ht="63">
      <c r="A317" s="63" t="s">
        <v>14</v>
      </c>
      <c r="B317" s="27" t="s">
        <v>165</v>
      </c>
      <c r="C317" s="27" t="s">
        <v>15</v>
      </c>
      <c r="D317" s="37">
        <f>'2020-2022 год Приложение  4'!E170</f>
        <v>77.9</v>
      </c>
      <c r="E317" s="37">
        <f>'2020-2022 год Приложение  4'!F170</f>
        <v>0</v>
      </c>
      <c r="F317" s="37">
        <f>'2020-2022 год Приложение  4'!G170</f>
        <v>77.9</v>
      </c>
      <c r="G317" s="37">
        <f>'2020-2022 год Приложение  4'!H170</f>
        <v>80.4</v>
      </c>
      <c r="H317" s="37">
        <f>'2020-2022 год Приложение  4'!I170</f>
        <v>83.6</v>
      </c>
      <c r="I317" s="26"/>
      <c r="J317" s="26"/>
    </row>
    <row r="318" spans="1:10" ht="47.25">
      <c r="A318" s="45" t="s">
        <v>453</v>
      </c>
      <c r="B318" s="27" t="s">
        <v>165</v>
      </c>
      <c r="C318" s="27" t="s">
        <v>8</v>
      </c>
      <c r="D318" s="37">
        <f>'2020-2022 год Приложение  4'!E171</f>
        <v>5</v>
      </c>
      <c r="E318" s="37">
        <f>'2020-2022 год Приложение  4'!F171</f>
        <v>0</v>
      </c>
      <c r="F318" s="37">
        <f>'2020-2022 год Приложение  4'!G171</f>
        <v>5</v>
      </c>
      <c r="G318" s="37">
        <f>'2020-2022 год Приложение  4'!H171</f>
        <v>5</v>
      </c>
      <c r="H318" s="37">
        <f>'2020-2022 год Приложение  4'!I171</f>
        <v>5</v>
      </c>
      <c r="I318" s="26"/>
      <c r="J318" s="26"/>
    </row>
    <row r="319" spans="1:12" ht="69.75" customHeight="1">
      <c r="A319" s="104" t="s">
        <v>245</v>
      </c>
      <c r="B319" s="42" t="s">
        <v>166</v>
      </c>
      <c r="C319" s="35"/>
      <c r="D319" s="36">
        <f>D320+D321</f>
        <v>892.9</v>
      </c>
      <c r="E319" s="36">
        <f>E320+E321</f>
        <v>0</v>
      </c>
      <c r="F319" s="36">
        <f>F320+F321</f>
        <v>892.9</v>
      </c>
      <c r="G319" s="36">
        <f>G320+G321</f>
        <v>921.5</v>
      </c>
      <c r="H319" s="36">
        <f>H320+H321</f>
        <v>957.5999999999999</v>
      </c>
      <c r="I319" s="26"/>
      <c r="J319" s="26"/>
      <c r="L319" s="110"/>
    </row>
    <row r="320" spans="1:10" ht="63">
      <c r="A320" s="63" t="s">
        <v>14</v>
      </c>
      <c r="B320" s="42" t="s">
        <v>166</v>
      </c>
      <c r="C320" s="27" t="s">
        <v>15</v>
      </c>
      <c r="D320" s="36">
        <f>'2020-2022 год Приложение  4'!E173</f>
        <v>876.1</v>
      </c>
      <c r="E320" s="36">
        <f>'2020-2022 год Приложение  4'!F173</f>
        <v>0</v>
      </c>
      <c r="F320" s="36">
        <f>'2020-2022 год Приложение  4'!G173</f>
        <v>876.1</v>
      </c>
      <c r="G320" s="36">
        <f>'2020-2022 год Приложение  4'!H173</f>
        <v>904.6</v>
      </c>
      <c r="H320" s="36">
        <f>'2020-2022 год Приложение  4'!I173</f>
        <v>940.8</v>
      </c>
      <c r="I320" s="26"/>
      <c r="J320" s="26"/>
    </row>
    <row r="321" spans="1:10" ht="47.25">
      <c r="A321" s="45" t="s">
        <v>453</v>
      </c>
      <c r="B321" s="42" t="s">
        <v>166</v>
      </c>
      <c r="C321" s="27" t="s">
        <v>8</v>
      </c>
      <c r="D321" s="36">
        <f>'2020-2022 год Приложение  4'!E174</f>
        <v>16.8</v>
      </c>
      <c r="E321" s="36">
        <f>'2020-2022 год Приложение  4'!F174</f>
        <v>0</v>
      </c>
      <c r="F321" s="36">
        <f>'2020-2022 год Приложение  4'!G174</f>
        <v>16.8</v>
      </c>
      <c r="G321" s="36">
        <f>'2020-2022 год Приложение  4'!H174</f>
        <v>16.9</v>
      </c>
      <c r="H321" s="36">
        <f>'2020-2022 год Приложение  4'!I174</f>
        <v>16.8</v>
      </c>
      <c r="I321" s="26"/>
      <c r="J321" s="26"/>
    </row>
    <row r="322" spans="1:10" ht="63">
      <c r="A322" s="23" t="s">
        <v>378</v>
      </c>
      <c r="B322" s="27" t="s">
        <v>167</v>
      </c>
      <c r="C322" s="35"/>
      <c r="D322" s="37">
        <f>D323+D324</f>
        <v>82.9</v>
      </c>
      <c r="E322" s="37">
        <f>E323+E324</f>
        <v>0</v>
      </c>
      <c r="F322" s="37">
        <f>F323+F324</f>
        <v>82.9</v>
      </c>
      <c r="G322" s="37">
        <f>G323+G324</f>
        <v>85.4</v>
      </c>
      <c r="H322" s="37">
        <f>H323+H324</f>
        <v>88.7</v>
      </c>
      <c r="I322" s="26"/>
      <c r="J322" s="26"/>
    </row>
    <row r="323" spans="1:10" ht="63">
      <c r="A323" s="63" t="s">
        <v>14</v>
      </c>
      <c r="B323" s="27" t="s">
        <v>167</v>
      </c>
      <c r="C323" s="27" t="s">
        <v>15</v>
      </c>
      <c r="D323" s="36">
        <f>'2020-2022 год Приложение  4'!E176</f>
        <v>77.9</v>
      </c>
      <c r="E323" s="36">
        <f>'2020-2022 год Приложение  4'!F176</f>
        <v>0</v>
      </c>
      <c r="F323" s="36">
        <f>'2020-2022 год Приложение  4'!G176</f>
        <v>77.9</v>
      </c>
      <c r="G323" s="36">
        <f>'2020-2022 год Приложение  4'!H176</f>
        <v>80.4</v>
      </c>
      <c r="H323" s="36">
        <f>'2020-2022 год Приложение  4'!I176</f>
        <v>83.7</v>
      </c>
      <c r="I323" s="26"/>
      <c r="J323" s="26"/>
    </row>
    <row r="324" spans="1:10" ht="47.25">
      <c r="A324" s="45" t="s">
        <v>453</v>
      </c>
      <c r="B324" s="27" t="s">
        <v>167</v>
      </c>
      <c r="C324" s="27" t="s">
        <v>8</v>
      </c>
      <c r="D324" s="36">
        <f>'2020-2022 год Приложение  4'!E177</f>
        <v>5</v>
      </c>
      <c r="E324" s="36">
        <f>'2020-2022 год Приложение  4'!F177</f>
        <v>0</v>
      </c>
      <c r="F324" s="36">
        <f>'2020-2022 год Приложение  4'!G177</f>
        <v>5</v>
      </c>
      <c r="G324" s="36">
        <f>'2020-2022 год Приложение  4'!H177</f>
        <v>5</v>
      </c>
      <c r="H324" s="36">
        <f>'2020-2022 год Приложение  4'!I177</f>
        <v>5</v>
      </c>
      <c r="I324" s="26"/>
      <c r="J324" s="26"/>
    </row>
    <row r="325" spans="1:10" ht="15.75">
      <c r="A325" s="45" t="s">
        <v>47</v>
      </c>
      <c r="B325" s="15" t="s">
        <v>159</v>
      </c>
      <c r="C325" s="42"/>
      <c r="D325" s="8">
        <f>D326+D327</f>
        <v>2014</v>
      </c>
      <c r="E325" s="8">
        <f>E326+E327</f>
        <v>200</v>
      </c>
      <c r="F325" s="8">
        <f>F326+F327</f>
        <v>2214</v>
      </c>
      <c r="G325" s="8">
        <f>G326+G327</f>
        <v>1100</v>
      </c>
      <c r="H325" s="8">
        <f>H326+H327</f>
        <v>1685</v>
      </c>
      <c r="I325" s="26"/>
      <c r="J325" s="26"/>
    </row>
    <row r="326" spans="1:10" ht="47.25">
      <c r="A326" s="45" t="s">
        <v>453</v>
      </c>
      <c r="B326" s="15" t="s">
        <v>159</v>
      </c>
      <c r="C326" s="27" t="s">
        <v>8</v>
      </c>
      <c r="D326" s="36">
        <f>'2020-2022 год Приложение  4'!E179</f>
        <v>1814</v>
      </c>
      <c r="E326" s="36">
        <f>'2020-2022 год Приложение  4'!F179</f>
        <v>200</v>
      </c>
      <c r="F326" s="36">
        <f>'2020-2022 год Приложение  4'!G179</f>
        <v>2014</v>
      </c>
      <c r="G326" s="36">
        <f>'2020-2022 год Приложение  4'!H179</f>
        <v>900</v>
      </c>
      <c r="H326" s="36">
        <f>'2020-2022 год Приложение  4'!I179</f>
        <v>1485</v>
      </c>
      <c r="I326" s="26"/>
      <c r="J326" s="26"/>
    </row>
    <row r="327" spans="1:10" ht="15.75">
      <c r="A327" s="45" t="s">
        <v>9</v>
      </c>
      <c r="B327" s="15" t="s">
        <v>159</v>
      </c>
      <c r="C327" s="27" t="s">
        <v>12</v>
      </c>
      <c r="D327" s="36">
        <f>'2020-2022 год Приложение  4'!E180</f>
        <v>200</v>
      </c>
      <c r="E327" s="36">
        <f>'2020-2022 год Приложение  4'!F180</f>
        <v>0</v>
      </c>
      <c r="F327" s="36">
        <f>'2020-2022 год Приложение  4'!G180</f>
        <v>200</v>
      </c>
      <c r="G327" s="36">
        <f>'2020-2022 год Приложение  4'!H180</f>
        <v>200</v>
      </c>
      <c r="H327" s="36">
        <f>'2020-2022 год Приложение  4'!I180</f>
        <v>200</v>
      </c>
      <c r="I327" s="26"/>
      <c r="J327" s="26"/>
    </row>
    <row r="328" spans="1:10" ht="31.5">
      <c r="A328" s="45" t="s">
        <v>256</v>
      </c>
      <c r="B328" s="42" t="s">
        <v>254</v>
      </c>
      <c r="C328" s="42"/>
      <c r="D328" s="36">
        <f>D329</f>
        <v>2790</v>
      </c>
      <c r="E328" s="36">
        <f>E329</f>
        <v>0</v>
      </c>
      <c r="F328" s="36">
        <f>F329</f>
        <v>2790</v>
      </c>
      <c r="G328" s="36">
        <f>G329</f>
        <v>2790</v>
      </c>
      <c r="H328" s="36">
        <f>H329</f>
        <v>2790</v>
      </c>
      <c r="I328" s="26"/>
      <c r="J328" s="26"/>
    </row>
    <row r="329" spans="1:10" ht="31.5">
      <c r="A329" s="22" t="s">
        <v>10</v>
      </c>
      <c r="B329" s="42" t="s">
        <v>254</v>
      </c>
      <c r="C329" s="42" t="s">
        <v>11</v>
      </c>
      <c r="D329" s="36">
        <f>'2020-2022 год Приложение  4'!E182</f>
        <v>2790</v>
      </c>
      <c r="E329" s="36">
        <f>'2020-2022 год Приложение  4'!F182</f>
        <v>0</v>
      </c>
      <c r="F329" s="36">
        <f>'2020-2022 год Приложение  4'!G182</f>
        <v>2790</v>
      </c>
      <c r="G329" s="36">
        <f>'2020-2022 год Приложение  4'!H182</f>
        <v>2790</v>
      </c>
      <c r="H329" s="36">
        <f>'2020-2022 год Приложение  4'!I182</f>
        <v>2790</v>
      </c>
      <c r="I329" s="26"/>
      <c r="J329" s="26"/>
    </row>
    <row r="330" spans="1:10" ht="15.75">
      <c r="A330" s="10" t="s">
        <v>68</v>
      </c>
      <c r="B330" s="11" t="s">
        <v>160</v>
      </c>
      <c r="C330" s="11" t="s">
        <v>0</v>
      </c>
      <c r="D330" s="12">
        <f>D331+D335+D339+D337+D333+D341</f>
        <v>2899.4</v>
      </c>
      <c r="E330" s="12">
        <f>E331+E335+E339+E337+E333+E341</f>
        <v>0</v>
      </c>
      <c r="F330" s="12">
        <f>F331+F335+F339+F337+F333+F341</f>
        <v>2899.4</v>
      </c>
      <c r="G330" s="12">
        <f>G331+G335+G339+G337+G333+G341</f>
        <v>1758.4</v>
      </c>
      <c r="H330" s="12">
        <f>H331+H335+H339+H337+H333+H341</f>
        <v>1758.4</v>
      </c>
      <c r="I330" s="26"/>
      <c r="J330" s="26"/>
    </row>
    <row r="331" spans="1:10" ht="31.5">
      <c r="A331" s="16" t="s">
        <v>20</v>
      </c>
      <c r="B331" s="15" t="s">
        <v>161</v>
      </c>
      <c r="C331" s="7"/>
      <c r="D331" s="8">
        <f>D332</f>
        <v>50</v>
      </c>
      <c r="E331" s="8">
        <f>E332</f>
        <v>0</v>
      </c>
      <c r="F331" s="8">
        <f>F332</f>
        <v>50</v>
      </c>
      <c r="G331" s="8">
        <f>G332</f>
        <v>50</v>
      </c>
      <c r="H331" s="8">
        <f>H332</f>
        <v>50</v>
      </c>
      <c r="I331" s="26"/>
      <c r="J331" s="26"/>
    </row>
    <row r="332" spans="1:10" ht="47.25">
      <c r="A332" s="45" t="s">
        <v>453</v>
      </c>
      <c r="B332" s="15" t="s">
        <v>161</v>
      </c>
      <c r="C332" s="27" t="s">
        <v>8</v>
      </c>
      <c r="D332" s="36">
        <f>'2020-2022 год Приложение  4'!E185</f>
        <v>50</v>
      </c>
      <c r="E332" s="36">
        <f>'2020-2022 год Приложение  4'!F185</f>
        <v>0</v>
      </c>
      <c r="F332" s="36">
        <f>'2020-2022 год Приложение  4'!G185</f>
        <v>50</v>
      </c>
      <c r="G332" s="36">
        <f>'2020-2022 год Приложение  4'!H185</f>
        <v>50</v>
      </c>
      <c r="H332" s="36">
        <f>'2020-2022 год Приложение  4'!I185</f>
        <v>50</v>
      </c>
      <c r="I332" s="26"/>
      <c r="J332" s="26"/>
    </row>
    <row r="333" spans="1:10" ht="37.5" customHeight="1">
      <c r="A333" s="45" t="s">
        <v>213</v>
      </c>
      <c r="B333" s="15" t="s">
        <v>214</v>
      </c>
      <c r="C333" s="7"/>
      <c r="D333" s="36">
        <f>D334</f>
        <v>110</v>
      </c>
      <c r="E333" s="36">
        <f>E334</f>
        <v>0</v>
      </c>
      <c r="F333" s="36">
        <f>F334</f>
        <v>110</v>
      </c>
      <c r="G333" s="36">
        <f>G334</f>
        <v>110</v>
      </c>
      <c r="H333" s="36">
        <f>H334</f>
        <v>110</v>
      </c>
      <c r="I333" s="26"/>
      <c r="J333" s="26"/>
    </row>
    <row r="334" spans="1:10" ht="47.25">
      <c r="A334" s="45" t="s">
        <v>453</v>
      </c>
      <c r="B334" s="15" t="s">
        <v>214</v>
      </c>
      <c r="C334" s="42" t="s">
        <v>8</v>
      </c>
      <c r="D334" s="36">
        <f>'2020-2022 год Приложение  4'!E187</f>
        <v>110</v>
      </c>
      <c r="E334" s="36">
        <f>'2020-2022 год Приложение  4'!F187</f>
        <v>0</v>
      </c>
      <c r="F334" s="36">
        <f>'2020-2022 год Приложение  4'!G187</f>
        <v>110</v>
      </c>
      <c r="G334" s="36">
        <f>'2020-2022 год Приложение  4'!H187</f>
        <v>110</v>
      </c>
      <c r="H334" s="36">
        <f>'2020-2022 год Приложение  4'!I187</f>
        <v>110</v>
      </c>
      <c r="I334" s="26"/>
      <c r="J334" s="26"/>
    </row>
    <row r="335" spans="1:10" ht="63">
      <c r="A335" s="16" t="s">
        <v>21</v>
      </c>
      <c r="B335" s="15" t="s">
        <v>162</v>
      </c>
      <c r="C335" s="7"/>
      <c r="D335" s="8">
        <f>D336</f>
        <v>2121</v>
      </c>
      <c r="E335" s="8">
        <f>E336</f>
        <v>0</v>
      </c>
      <c r="F335" s="8">
        <f>F336</f>
        <v>2121</v>
      </c>
      <c r="G335" s="8">
        <f>G336</f>
        <v>980</v>
      </c>
      <c r="H335" s="8">
        <f>H336</f>
        <v>980</v>
      </c>
      <c r="I335" s="26"/>
      <c r="J335" s="26"/>
    </row>
    <row r="336" spans="1:10" ht="47.25">
      <c r="A336" s="45" t="s">
        <v>453</v>
      </c>
      <c r="B336" s="15" t="s">
        <v>162</v>
      </c>
      <c r="C336" s="27" t="s">
        <v>8</v>
      </c>
      <c r="D336" s="36">
        <f>'2020-2022 год Приложение  4'!E189</f>
        <v>2121</v>
      </c>
      <c r="E336" s="36">
        <f>'2020-2022 год Приложение  4'!F189</f>
        <v>0</v>
      </c>
      <c r="F336" s="36">
        <f>'2020-2022 год Приложение  4'!G189</f>
        <v>2121</v>
      </c>
      <c r="G336" s="36">
        <f>'2020-2022 год Приложение  4'!H189</f>
        <v>980</v>
      </c>
      <c r="H336" s="36">
        <f>'2020-2022 год Приложение  4'!I189</f>
        <v>980</v>
      </c>
      <c r="I336" s="26"/>
      <c r="J336" s="26"/>
    </row>
    <row r="337" spans="1:10" ht="31.5">
      <c r="A337" s="45" t="s">
        <v>188</v>
      </c>
      <c r="B337" s="15" t="s">
        <v>187</v>
      </c>
      <c r="C337" s="35"/>
      <c r="D337" s="36">
        <f>'2020-2022 год Приложение  4'!E190</f>
        <v>265</v>
      </c>
      <c r="E337" s="36">
        <f>'2020-2022 год Приложение  4'!F190</f>
        <v>0</v>
      </c>
      <c r="F337" s="36">
        <f>'2020-2022 год Приложение  4'!G190</f>
        <v>265</v>
      </c>
      <c r="G337" s="36">
        <f>'2020-2022 год Приложение  4'!H190</f>
        <v>265</v>
      </c>
      <c r="H337" s="36">
        <f>'2020-2022 год Приложение  4'!I190</f>
        <v>265</v>
      </c>
      <c r="I337" s="26"/>
      <c r="J337" s="26"/>
    </row>
    <row r="338" spans="1:10" ht="47.25">
      <c r="A338" s="45" t="s">
        <v>453</v>
      </c>
      <c r="B338" s="15" t="s">
        <v>187</v>
      </c>
      <c r="C338" s="27" t="s">
        <v>8</v>
      </c>
      <c r="D338" s="36">
        <f>'2020-2022 год Приложение  4'!E191</f>
        <v>265</v>
      </c>
      <c r="E338" s="36">
        <f>'2020-2022 год Приложение  4'!F191</f>
        <v>0</v>
      </c>
      <c r="F338" s="36">
        <f>'2020-2022 год Приложение  4'!G191</f>
        <v>265</v>
      </c>
      <c r="G338" s="36">
        <f>'2020-2022 год Приложение  4'!H191</f>
        <v>265</v>
      </c>
      <c r="H338" s="36">
        <f>'2020-2022 год Приложение  4'!I191</f>
        <v>265</v>
      </c>
      <c r="I338" s="26"/>
      <c r="J338" s="26"/>
    </row>
    <row r="339" spans="1:10" ht="15.75">
      <c r="A339" s="64" t="s">
        <v>59</v>
      </c>
      <c r="B339" s="15" t="s">
        <v>163</v>
      </c>
      <c r="C339" s="35"/>
      <c r="D339" s="36">
        <f>'2020-2022 год Приложение  4'!E192</f>
        <v>150</v>
      </c>
      <c r="E339" s="36">
        <f>'2020-2022 год Приложение  4'!F192</f>
        <v>0</v>
      </c>
      <c r="F339" s="36">
        <f>'2020-2022 год Приложение  4'!G192</f>
        <v>150</v>
      </c>
      <c r="G339" s="36">
        <f>'2020-2022 год Приложение  4'!H192</f>
        <v>150</v>
      </c>
      <c r="H339" s="36">
        <f>'2020-2022 год Приложение  4'!I192</f>
        <v>150</v>
      </c>
      <c r="I339" s="26"/>
      <c r="J339" s="26"/>
    </row>
    <row r="340" spans="1:10" ht="47.25">
      <c r="A340" s="45" t="s">
        <v>453</v>
      </c>
      <c r="B340" s="15" t="s">
        <v>163</v>
      </c>
      <c r="C340" s="27" t="s">
        <v>8</v>
      </c>
      <c r="D340" s="36">
        <f>'2020-2022 год Приложение  4'!E193</f>
        <v>150</v>
      </c>
      <c r="E340" s="36">
        <f>'2020-2022 год Приложение  4'!F193</f>
        <v>0</v>
      </c>
      <c r="F340" s="36">
        <f>'2020-2022 год Приложение  4'!G193</f>
        <v>150</v>
      </c>
      <c r="G340" s="36">
        <f>'2020-2022 год Приложение  4'!H193</f>
        <v>150</v>
      </c>
      <c r="H340" s="36">
        <f>'2020-2022 год Приложение  4'!I193</f>
        <v>150</v>
      </c>
      <c r="I340" s="26"/>
      <c r="J340" s="26"/>
    </row>
    <row r="341" spans="1:10" ht="69" customHeight="1">
      <c r="A341" s="45" t="s">
        <v>277</v>
      </c>
      <c r="B341" s="15" t="s">
        <v>278</v>
      </c>
      <c r="C341" s="42"/>
      <c r="D341" s="36">
        <f>'2020-2022 год Приложение  4'!E194</f>
        <v>203.4</v>
      </c>
      <c r="E341" s="36">
        <f>'2020-2022 год Приложение  4'!F194</f>
        <v>0</v>
      </c>
      <c r="F341" s="36">
        <f>'2020-2022 год Приложение  4'!G194</f>
        <v>203.4</v>
      </c>
      <c r="G341" s="36">
        <f>'2020-2022 год Приложение  4'!H194</f>
        <v>203.4</v>
      </c>
      <c r="H341" s="36">
        <f>'2020-2022 год Приложение  4'!I194</f>
        <v>203.4</v>
      </c>
      <c r="I341" s="26"/>
      <c r="J341" s="26"/>
    </row>
    <row r="342" spans="1:10" ht="47.25">
      <c r="A342" s="45" t="s">
        <v>453</v>
      </c>
      <c r="B342" s="15" t="s">
        <v>278</v>
      </c>
      <c r="C342" s="42" t="s">
        <v>8</v>
      </c>
      <c r="D342" s="36">
        <f>'2020-2022 год Приложение  4'!E195</f>
        <v>203.4</v>
      </c>
      <c r="E342" s="36">
        <f>'2020-2022 год Приложение  4'!F195</f>
        <v>0</v>
      </c>
      <c r="F342" s="36">
        <f>'2020-2022 год Приложение  4'!G195</f>
        <v>203.4</v>
      </c>
      <c r="G342" s="36">
        <f>'2020-2022 год Приложение  4'!H195</f>
        <v>203.4</v>
      </c>
      <c r="H342" s="36">
        <f>'2020-2022 год Приложение  4'!I195</f>
        <v>203.4</v>
      </c>
      <c r="I342" s="26"/>
      <c r="J342" s="26"/>
    </row>
    <row r="343" spans="1:10" ht="31.5">
      <c r="A343" s="29" t="s">
        <v>310</v>
      </c>
      <c r="B343" s="30" t="s">
        <v>128</v>
      </c>
      <c r="C343" s="30" t="s">
        <v>0</v>
      </c>
      <c r="D343" s="31">
        <f>D344+D347+D354+D357</f>
        <v>20347</v>
      </c>
      <c r="E343" s="31">
        <f>E344+E347+E354+E357</f>
        <v>300</v>
      </c>
      <c r="F343" s="31">
        <f>F344+F347+F354+F357</f>
        <v>20647</v>
      </c>
      <c r="G343" s="31">
        <f>G344+G347+G354+G357</f>
        <v>18644.6</v>
      </c>
      <c r="H343" s="31">
        <f>H344+H347+H354+H357</f>
        <v>18699.1</v>
      </c>
      <c r="I343" s="26"/>
      <c r="J343" s="26"/>
    </row>
    <row r="344" spans="1:10" ht="15.75">
      <c r="A344" s="10" t="s">
        <v>311</v>
      </c>
      <c r="B344" s="11" t="s">
        <v>280</v>
      </c>
      <c r="C344" s="11" t="s">
        <v>0</v>
      </c>
      <c r="D344" s="12">
        <f aca="true" t="shared" si="3" ref="D344:H345">D345</f>
        <v>1100.3</v>
      </c>
      <c r="E344" s="12">
        <f t="shared" si="3"/>
        <v>0</v>
      </c>
      <c r="F344" s="12">
        <f t="shared" si="3"/>
        <v>1100.3</v>
      </c>
      <c r="G344" s="12">
        <f t="shared" si="3"/>
        <v>0</v>
      </c>
      <c r="H344" s="12">
        <f t="shared" si="3"/>
        <v>0</v>
      </c>
      <c r="I344" s="26"/>
      <c r="J344" s="26"/>
    </row>
    <row r="345" spans="1:10" ht="15.75">
      <c r="A345" s="14" t="s">
        <v>279</v>
      </c>
      <c r="B345" s="35" t="s">
        <v>336</v>
      </c>
      <c r="C345" s="9"/>
      <c r="D345" s="20">
        <f t="shared" si="3"/>
        <v>1100.3</v>
      </c>
      <c r="E345" s="20">
        <f t="shared" si="3"/>
        <v>0</v>
      </c>
      <c r="F345" s="20">
        <f t="shared" si="3"/>
        <v>1100.3</v>
      </c>
      <c r="G345" s="20">
        <f t="shared" si="3"/>
        <v>0</v>
      </c>
      <c r="H345" s="20">
        <f t="shared" si="3"/>
        <v>0</v>
      </c>
      <c r="I345" s="26"/>
      <c r="J345" s="26"/>
    </row>
    <row r="346" spans="1:10" ht="47.25">
      <c r="A346" s="45" t="s">
        <v>453</v>
      </c>
      <c r="B346" s="35" t="s">
        <v>336</v>
      </c>
      <c r="C346" s="42" t="s">
        <v>8</v>
      </c>
      <c r="D346" s="36">
        <f>'2020-2022 год Приложение  4'!E199</f>
        <v>1100.3</v>
      </c>
      <c r="E346" s="36">
        <f>'2020-2022 год Приложение  4'!F199</f>
        <v>0</v>
      </c>
      <c r="F346" s="36">
        <f>D346+E346</f>
        <v>1100.3</v>
      </c>
      <c r="G346" s="36">
        <f>'2020-2022 год Приложение  4'!H199</f>
        <v>0</v>
      </c>
      <c r="H346" s="36">
        <f>'2020-2022 год Приложение  4'!I199</f>
        <v>0</v>
      </c>
      <c r="I346" s="26"/>
      <c r="J346" s="26"/>
    </row>
    <row r="347" spans="1:10" ht="47.25">
      <c r="A347" s="10" t="s">
        <v>320</v>
      </c>
      <c r="B347" s="11" t="s">
        <v>138</v>
      </c>
      <c r="C347" s="11" t="s">
        <v>0</v>
      </c>
      <c r="D347" s="12">
        <f>D348+D350</f>
        <v>18708</v>
      </c>
      <c r="E347" s="12">
        <f>E348+E350</f>
        <v>300</v>
      </c>
      <c r="F347" s="12">
        <f>F348+F350</f>
        <v>19008</v>
      </c>
      <c r="G347" s="12">
        <f>G348+G350</f>
        <v>17885.899999999998</v>
      </c>
      <c r="H347" s="12">
        <f>H348+H350</f>
        <v>17940.399999999998</v>
      </c>
      <c r="I347" s="26"/>
      <c r="J347" s="26"/>
    </row>
    <row r="348" spans="1:10" ht="15.75">
      <c r="A348" s="14" t="s">
        <v>33</v>
      </c>
      <c r="B348" s="35" t="s">
        <v>139</v>
      </c>
      <c r="C348" s="9"/>
      <c r="D348" s="20">
        <f>D349</f>
        <v>91.8</v>
      </c>
      <c r="E348" s="20">
        <f>E349</f>
        <v>0</v>
      </c>
      <c r="F348" s="20">
        <f>F349</f>
        <v>91.8</v>
      </c>
      <c r="G348" s="20">
        <f>G349</f>
        <v>91.8</v>
      </c>
      <c r="H348" s="20">
        <f>H349</f>
        <v>91.8</v>
      </c>
      <c r="I348" s="26"/>
      <c r="J348" s="26"/>
    </row>
    <row r="349" spans="1:10" ht="47.25">
      <c r="A349" s="45" t="s">
        <v>453</v>
      </c>
      <c r="B349" s="35" t="s">
        <v>139</v>
      </c>
      <c r="C349" s="27" t="s">
        <v>8</v>
      </c>
      <c r="D349" s="36">
        <f>'2020-2022 год Приложение  4'!E202</f>
        <v>91.8</v>
      </c>
      <c r="E349" s="36">
        <f>'2020-2022 год Приложение  4'!F202</f>
        <v>0</v>
      </c>
      <c r="F349" s="36">
        <f>'2020-2022 год Приложение  4'!G202</f>
        <v>91.8</v>
      </c>
      <c r="G349" s="36">
        <f>'2020-2022 год Приложение  4'!H202</f>
        <v>91.8</v>
      </c>
      <c r="H349" s="36">
        <f>'2020-2022 год Приложение  4'!I202</f>
        <v>91.8</v>
      </c>
      <c r="I349" s="26"/>
      <c r="J349" s="26"/>
    </row>
    <row r="350" spans="1:10" ht="15.75">
      <c r="A350" s="41" t="s">
        <v>61</v>
      </c>
      <c r="B350" s="35" t="s">
        <v>337</v>
      </c>
      <c r="C350" s="65"/>
      <c r="D350" s="36">
        <f>D352+D351+D353</f>
        <v>18616.2</v>
      </c>
      <c r="E350" s="36">
        <f>E352+E351+E353</f>
        <v>300</v>
      </c>
      <c r="F350" s="36">
        <f>F352+F351+F353</f>
        <v>18916.2</v>
      </c>
      <c r="G350" s="36">
        <f>G352+G351+G353</f>
        <v>17794.1</v>
      </c>
      <c r="H350" s="36">
        <f>H352+H351+H353</f>
        <v>17848.6</v>
      </c>
      <c r="I350" s="26"/>
      <c r="J350" s="26"/>
    </row>
    <row r="351" spans="1:10" ht="63">
      <c r="A351" s="61" t="s">
        <v>14</v>
      </c>
      <c r="B351" s="35" t="s">
        <v>337</v>
      </c>
      <c r="C351" s="27" t="s">
        <v>15</v>
      </c>
      <c r="D351" s="36">
        <f>'2020-2022 год Приложение  4'!E204</f>
        <v>16736.5</v>
      </c>
      <c r="E351" s="36">
        <f>'2020-2022 год Приложение  4'!F204</f>
        <v>0</v>
      </c>
      <c r="F351" s="36">
        <f>'2020-2022 год Приложение  4'!G204</f>
        <v>16736.5</v>
      </c>
      <c r="G351" s="36">
        <f>'2020-2022 год Приложение  4'!H204</f>
        <v>16720.1</v>
      </c>
      <c r="H351" s="36">
        <f>'2020-2022 год Приложение  4'!I204</f>
        <v>16720.1</v>
      </c>
      <c r="I351" s="26"/>
      <c r="J351" s="26"/>
    </row>
    <row r="352" spans="1:10" ht="47.25">
      <c r="A352" s="45" t="s">
        <v>453</v>
      </c>
      <c r="B352" s="35" t="s">
        <v>337</v>
      </c>
      <c r="C352" s="27" t="s">
        <v>8</v>
      </c>
      <c r="D352" s="36">
        <f>'2020-2022 год Приложение  4'!E205</f>
        <v>1828.8</v>
      </c>
      <c r="E352" s="36">
        <f>'2020-2022 год Приложение  4'!F205</f>
        <v>300</v>
      </c>
      <c r="F352" s="36">
        <f>'2020-2022 год Приложение  4'!G205</f>
        <v>2128.8</v>
      </c>
      <c r="G352" s="36">
        <f>'2020-2022 год Приложение  4'!H205</f>
        <v>1038.1</v>
      </c>
      <c r="H352" s="36">
        <f>'2020-2022 год Приложение  4'!I205</f>
        <v>1092.6</v>
      </c>
      <c r="I352" s="26"/>
      <c r="J352" s="26"/>
    </row>
    <row r="353" spans="1:10" ht="15.75">
      <c r="A353" s="41" t="s">
        <v>9</v>
      </c>
      <c r="B353" s="35" t="s">
        <v>338</v>
      </c>
      <c r="C353" s="27" t="s">
        <v>12</v>
      </c>
      <c r="D353" s="36">
        <f>'2020-2022 год Приложение  4'!E206</f>
        <v>50.9</v>
      </c>
      <c r="E353" s="36">
        <f>'2020-2022 год Приложение  4'!F206</f>
        <v>0</v>
      </c>
      <c r="F353" s="36">
        <f>'2020-2022 год Приложение  4'!G206</f>
        <v>50.9</v>
      </c>
      <c r="G353" s="36">
        <f>'2020-2022 год Приложение  4'!H206</f>
        <v>35.9</v>
      </c>
      <c r="H353" s="36">
        <f>'2020-2022 год Приложение  4'!I206</f>
        <v>35.9</v>
      </c>
      <c r="I353" s="26"/>
      <c r="J353" s="26"/>
    </row>
    <row r="354" spans="1:10" ht="15.75">
      <c r="A354" s="24" t="s">
        <v>312</v>
      </c>
      <c r="B354" s="11" t="s">
        <v>127</v>
      </c>
      <c r="C354" s="11"/>
      <c r="D354" s="12">
        <f aca="true" t="shared" si="4" ref="D354:H355">D355</f>
        <v>458.7</v>
      </c>
      <c r="E354" s="12">
        <f t="shared" si="4"/>
        <v>0</v>
      </c>
      <c r="F354" s="12">
        <f t="shared" si="4"/>
        <v>458.7</v>
      </c>
      <c r="G354" s="12">
        <f t="shared" si="4"/>
        <v>608.7</v>
      </c>
      <c r="H354" s="12">
        <f t="shared" si="4"/>
        <v>608.7</v>
      </c>
      <c r="I354" s="26"/>
      <c r="J354" s="26"/>
    </row>
    <row r="355" spans="1:10" ht="31.5">
      <c r="A355" s="22" t="s">
        <v>34</v>
      </c>
      <c r="B355" s="35" t="s">
        <v>140</v>
      </c>
      <c r="C355" s="21"/>
      <c r="D355" s="20">
        <f t="shared" si="4"/>
        <v>458.7</v>
      </c>
      <c r="E355" s="20">
        <f t="shared" si="4"/>
        <v>0</v>
      </c>
      <c r="F355" s="20">
        <f t="shared" si="4"/>
        <v>458.7</v>
      </c>
      <c r="G355" s="20">
        <f t="shared" si="4"/>
        <v>608.7</v>
      </c>
      <c r="H355" s="20">
        <f t="shared" si="4"/>
        <v>608.7</v>
      </c>
      <c r="I355" s="26"/>
      <c r="J355" s="26"/>
    </row>
    <row r="356" spans="1:10" ht="47.25">
      <c r="A356" s="45" t="s">
        <v>453</v>
      </c>
      <c r="B356" s="35" t="s">
        <v>140</v>
      </c>
      <c r="C356" s="35" t="s">
        <v>8</v>
      </c>
      <c r="D356" s="36">
        <f>'2020-2022 год Приложение  4'!E209</f>
        <v>458.7</v>
      </c>
      <c r="E356" s="36">
        <f>'2020-2022 год Приложение  4'!F209</f>
        <v>0</v>
      </c>
      <c r="F356" s="36">
        <f>'2020-2022 год Приложение  4'!G209</f>
        <v>458.7</v>
      </c>
      <c r="G356" s="36">
        <f>'2020-2022 год Приложение  4'!H209</f>
        <v>608.7</v>
      </c>
      <c r="H356" s="36">
        <f>'2020-2022 год Приложение  4'!I209</f>
        <v>608.7</v>
      </c>
      <c r="I356" s="26"/>
      <c r="J356" s="26"/>
    </row>
    <row r="357" spans="1:10" ht="15.75">
      <c r="A357" s="24" t="s">
        <v>88</v>
      </c>
      <c r="B357" s="11" t="s">
        <v>141</v>
      </c>
      <c r="C357" s="11"/>
      <c r="D357" s="12">
        <f>D360+D358+D362</f>
        <v>80</v>
      </c>
      <c r="E357" s="12">
        <f>E360+E358+E362</f>
        <v>0</v>
      </c>
      <c r="F357" s="12">
        <f>F360+F358+F362</f>
        <v>80</v>
      </c>
      <c r="G357" s="12">
        <f>G360+G358+G362</f>
        <v>150</v>
      </c>
      <c r="H357" s="12">
        <f>H360+H358+H362</f>
        <v>150</v>
      </c>
      <c r="I357" s="26"/>
      <c r="J357" s="26"/>
    </row>
    <row r="358" spans="1:10" ht="63">
      <c r="A358" s="40" t="s">
        <v>89</v>
      </c>
      <c r="B358" s="35" t="s">
        <v>142</v>
      </c>
      <c r="C358" s="21"/>
      <c r="D358" s="36">
        <f>'2020-2022 год Приложение  4'!E211</f>
        <v>40</v>
      </c>
      <c r="E358" s="36">
        <f>'2020-2022 год Приложение  4'!F211</f>
        <v>0</v>
      </c>
      <c r="F358" s="36">
        <f>'2020-2022 год Приложение  4'!G211</f>
        <v>40</v>
      </c>
      <c r="G358" s="36">
        <f>'2020-2022 год Приложение  4'!H211</f>
        <v>40</v>
      </c>
      <c r="H358" s="36">
        <f>'2020-2022 год Приложение  4'!I211</f>
        <v>40</v>
      </c>
      <c r="I358" s="26"/>
      <c r="J358" s="26"/>
    </row>
    <row r="359" spans="1:10" ht="47.25">
      <c r="A359" s="45" t="s">
        <v>453</v>
      </c>
      <c r="B359" s="35" t="s">
        <v>142</v>
      </c>
      <c r="C359" s="21" t="s">
        <v>8</v>
      </c>
      <c r="D359" s="36">
        <f>'2020-2022 год Приложение  4'!E212</f>
        <v>40</v>
      </c>
      <c r="E359" s="36">
        <f>'2020-2022 год Приложение  4'!F212</f>
        <v>0</v>
      </c>
      <c r="F359" s="36">
        <f>'2020-2022 год Приложение  4'!G212</f>
        <v>40</v>
      </c>
      <c r="G359" s="36">
        <f>'2020-2022 год Приложение  4'!H212</f>
        <v>40</v>
      </c>
      <c r="H359" s="36">
        <f>'2020-2022 год Приложение  4'!I212</f>
        <v>40</v>
      </c>
      <c r="I359" s="26"/>
      <c r="J359" s="26"/>
    </row>
    <row r="360" spans="1:10" ht="47.25">
      <c r="A360" s="40" t="s">
        <v>452</v>
      </c>
      <c r="B360" s="35" t="s">
        <v>143</v>
      </c>
      <c r="C360" s="21"/>
      <c r="D360" s="36">
        <f>'2020-2022 год Приложение  4'!E213</f>
        <v>0</v>
      </c>
      <c r="E360" s="36" t="str">
        <f>'2020-2022 год Приложение  4'!F213</f>
        <v>0</v>
      </c>
      <c r="F360" s="36">
        <f>'2020-2022 год Приложение  4'!G213</f>
        <v>0</v>
      </c>
      <c r="G360" s="36">
        <f>'2020-2022 год Приложение  4'!H213</f>
        <v>70</v>
      </c>
      <c r="H360" s="36">
        <f>'2020-2022 год Приложение  4'!I213</f>
        <v>70</v>
      </c>
      <c r="I360" s="26"/>
      <c r="J360" s="26"/>
    </row>
    <row r="361" spans="1:10" ht="47.25">
      <c r="A361" s="45" t="s">
        <v>453</v>
      </c>
      <c r="B361" s="35" t="s">
        <v>143</v>
      </c>
      <c r="C361" s="21" t="s">
        <v>8</v>
      </c>
      <c r="D361" s="36">
        <f>'2020-2022 год Приложение  4'!E214</f>
        <v>0</v>
      </c>
      <c r="E361" s="36" t="str">
        <f>'2020-2022 год Приложение  4'!F214</f>
        <v>0</v>
      </c>
      <c r="F361" s="36">
        <f>'2020-2022 год Приложение  4'!G214</f>
        <v>0</v>
      </c>
      <c r="G361" s="36">
        <f>'2020-2022 год Приложение  4'!H214</f>
        <v>70</v>
      </c>
      <c r="H361" s="36">
        <f>'2020-2022 год Приложение  4'!I214</f>
        <v>70</v>
      </c>
      <c r="I361" s="26"/>
      <c r="J361" s="26"/>
    </row>
    <row r="362" spans="1:10" ht="47.25">
      <c r="A362" s="40" t="s">
        <v>90</v>
      </c>
      <c r="B362" s="35" t="s">
        <v>144</v>
      </c>
      <c r="C362" s="21"/>
      <c r="D362" s="36">
        <f>'2020-2022 год Приложение  4'!E215</f>
        <v>40</v>
      </c>
      <c r="E362" s="36">
        <f>'2020-2022 год Приложение  4'!F215</f>
        <v>0</v>
      </c>
      <c r="F362" s="36">
        <f>'2020-2022 год Приложение  4'!G215</f>
        <v>40</v>
      </c>
      <c r="G362" s="36">
        <f>'2020-2022 год Приложение  4'!H215</f>
        <v>40</v>
      </c>
      <c r="H362" s="36">
        <f>'2020-2022 год Приложение  4'!I215</f>
        <v>40</v>
      </c>
      <c r="I362" s="26"/>
      <c r="J362" s="26"/>
    </row>
    <row r="363" spans="1:10" ht="47.25">
      <c r="A363" s="45" t="s">
        <v>453</v>
      </c>
      <c r="B363" s="35" t="s">
        <v>144</v>
      </c>
      <c r="C363" s="21" t="s">
        <v>8</v>
      </c>
      <c r="D363" s="36">
        <f>'2020-2022 год Приложение  4'!E216</f>
        <v>40</v>
      </c>
      <c r="E363" s="36">
        <f>'2020-2022 год Приложение  4'!F216</f>
        <v>0</v>
      </c>
      <c r="F363" s="36">
        <f>'2020-2022 год Приложение  4'!G216</f>
        <v>40</v>
      </c>
      <c r="G363" s="36">
        <f>'2020-2022 год Приложение  4'!H216</f>
        <v>40</v>
      </c>
      <c r="H363" s="36">
        <f>'2020-2022 год Приложение  4'!I216</f>
        <v>40</v>
      </c>
      <c r="I363" s="26"/>
      <c r="J363" s="26"/>
    </row>
    <row r="364" spans="1:10" ht="15.75">
      <c r="A364" s="29" t="s">
        <v>313</v>
      </c>
      <c r="B364" s="30" t="s">
        <v>168</v>
      </c>
      <c r="C364" s="30" t="s">
        <v>0</v>
      </c>
      <c r="D364" s="31">
        <f>D365+D368+D381</f>
        <v>28950.2</v>
      </c>
      <c r="E364" s="31">
        <f>E365+E368+E381</f>
        <v>0</v>
      </c>
      <c r="F364" s="31">
        <f>F365+F368+F381</f>
        <v>28950.2</v>
      </c>
      <c r="G364" s="31">
        <f>G365+G368+G381</f>
        <v>20653.9</v>
      </c>
      <c r="H364" s="31">
        <f>H365+H368+H381</f>
        <v>20552.8</v>
      </c>
      <c r="I364" s="26"/>
      <c r="J364" s="26"/>
    </row>
    <row r="365" spans="1:11" ht="15.75">
      <c r="A365" s="10" t="s">
        <v>314</v>
      </c>
      <c r="B365" s="11" t="s">
        <v>169</v>
      </c>
      <c r="C365" s="11" t="s">
        <v>0</v>
      </c>
      <c r="D365" s="12">
        <f aca="true" t="shared" si="5" ref="D365:H366">D366</f>
        <v>120</v>
      </c>
      <c r="E365" s="12">
        <f t="shared" si="5"/>
        <v>0</v>
      </c>
      <c r="F365" s="12">
        <f t="shared" si="5"/>
        <v>120</v>
      </c>
      <c r="G365" s="12">
        <f t="shared" si="5"/>
        <v>120</v>
      </c>
      <c r="H365" s="12">
        <f t="shared" si="5"/>
        <v>120</v>
      </c>
      <c r="I365" s="26"/>
      <c r="J365" s="26"/>
      <c r="K365" s="26"/>
    </row>
    <row r="366" spans="1:10" ht="15.75">
      <c r="A366" s="41" t="s">
        <v>54</v>
      </c>
      <c r="B366" s="27" t="s">
        <v>328</v>
      </c>
      <c r="C366" s="27"/>
      <c r="D366" s="37">
        <f t="shared" si="5"/>
        <v>120</v>
      </c>
      <c r="E366" s="37">
        <f t="shared" si="5"/>
        <v>0</v>
      </c>
      <c r="F366" s="37">
        <f t="shared" si="5"/>
        <v>120</v>
      </c>
      <c r="G366" s="37">
        <f t="shared" si="5"/>
        <v>120</v>
      </c>
      <c r="H366" s="37">
        <f t="shared" si="5"/>
        <v>120</v>
      </c>
      <c r="I366" s="26"/>
      <c r="J366" s="26"/>
    </row>
    <row r="367" spans="1:10" ht="63">
      <c r="A367" s="61" t="s">
        <v>14</v>
      </c>
      <c r="B367" s="27" t="s">
        <v>328</v>
      </c>
      <c r="C367" s="27" t="s">
        <v>15</v>
      </c>
      <c r="D367" s="37">
        <f>'2020-2022 год Приложение  4'!E220</f>
        <v>120</v>
      </c>
      <c r="E367" s="37">
        <f>'2020-2022 год Приложение  4'!F220</f>
        <v>0</v>
      </c>
      <c r="F367" s="37">
        <f>'2020-2022 год Приложение  4'!G220</f>
        <v>120</v>
      </c>
      <c r="G367" s="37">
        <f>'2020-2022 год Приложение  4'!H220</f>
        <v>120</v>
      </c>
      <c r="H367" s="37">
        <f>'2020-2022 год Приложение  4'!I220</f>
        <v>120</v>
      </c>
      <c r="I367" s="26"/>
      <c r="J367" s="26"/>
    </row>
    <row r="368" spans="1:10" ht="31.5">
      <c r="A368" s="10" t="s">
        <v>315</v>
      </c>
      <c r="B368" s="11" t="s">
        <v>129</v>
      </c>
      <c r="C368" s="11" t="s">
        <v>0</v>
      </c>
      <c r="D368" s="12">
        <f>D369+D377+D371+D379+D375+D373</f>
        <v>28650.2</v>
      </c>
      <c r="E368" s="12">
        <f>E369+E377+E371+E379+E375+E373</f>
        <v>0</v>
      </c>
      <c r="F368" s="12">
        <f>F369+F377+F371+F379+F375+F373</f>
        <v>28650.2</v>
      </c>
      <c r="G368" s="12">
        <f>G369+G377+G371+G379+G375+G373</f>
        <v>20433.9</v>
      </c>
      <c r="H368" s="12">
        <f>H369+H377+H371+H379+H375+H373</f>
        <v>20332.8</v>
      </c>
      <c r="I368" s="26"/>
      <c r="J368" s="26"/>
    </row>
    <row r="369" spans="1:11" ht="63">
      <c r="A369" s="14" t="s">
        <v>35</v>
      </c>
      <c r="B369" s="15" t="s">
        <v>170</v>
      </c>
      <c r="C369" s="15"/>
      <c r="D369" s="17">
        <f>D370</f>
        <v>887.5</v>
      </c>
      <c r="E369" s="17">
        <f>E370</f>
        <v>0</v>
      </c>
      <c r="F369" s="17">
        <f>F370</f>
        <v>887.5</v>
      </c>
      <c r="G369" s="17">
        <f>G370</f>
        <v>744.9</v>
      </c>
      <c r="H369" s="17">
        <f>H370</f>
        <v>643.8</v>
      </c>
      <c r="I369" s="26"/>
      <c r="J369" s="26"/>
      <c r="K369" s="26"/>
    </row>
    <row r="370" spans="1:10" ht="15.75">
      <c r="A370" s="41" t="s">
        <v>27</v>
      </c>
      <c r="B370" s="15" t="s">
        <v>170</v>
      </c>
      <c r="C370" s="27" t="s">
        <v>16</v>
      </c>
      <c r="D370" s="37">
        <f>'2020-2022 год Приложение  4'!E447</f>
        <v>887.5</v>
      </c>
      <c r="E370" s="37">
        <f>'2020-2022 год Приложение  4'!F447</f>
        <v>0</v>
      </c>
      <c r="F370" s="37">
        <f>'2020-2022 год Приложение  4'!G447</f>
        <v>887.5</v>
      </c>
      <c r="G370" s="37">
        <f>'2020-2022 год Приложение  4'!H447</f>
        <v>744.9</v>
      </c>
      <c r="H370" s="37">
        <f>'2020-2022 год Приложение  4'!I447</f>
        <v>643.8</v>
      </c>
      <c r="I370" s="26"/>
      <c r="J370" s="26"/>
    </row>
    <row r="371" spans="1:12" ht="105.75" customHeight="1">
      <c r="A371" s="95" t="s">
        <v>64</v>
      </c>
      <c r="B371" s="15" t="s">
        <v>201</v>
      </c>
      <c r="C371" s="27"/>
      <c r="D371" s="37">
        <f>D372</f>
        <v>4926.1</v>
      </c>
      <c r="E371" s="37">
        <f>E372</f>
        <v>0</v>
      </c>
      <c r="F371" s="37">
        <f>F372</f>
        <v>4926.1</v>
      </c>
      <c r="G371" s="37">
        <f>G372</f>
        <v>16351</v>
      </c>
      <c r="H371" s="37">
        <f>H372</f>
        <v>16351</v>
      </c>
      <c r="I371" s="26"/>
      <c r="J371" s="26"/>
      <c r="L371" s="110"/>
    </row>
    <row r="372" spans="1:11" ht="31.5">
      <c r="A372" s="41" t="s">
        <v>29</v>
      </c>
      <c r="B372" s="15" t="s">
        <v>201</v>
      </c>
      <c r="C372" s="27" t="s">
        <v>24</v>
      </c>
      <c r="D372" s="37">
        <f>'2020-2022 год Приложение  4'!E223</f>
        <v>4926.1</v>
      </c>
      <c r="E372" s="37">
        <f>'2020-2022 год Приложение  4'!F223</f>
        <v>0</v>
      </c>
      <c r="F372" s="37">
        <f>'2020-2022 год Приложение  4'!G223</f>
        <v>4926.1</v>
      </c>
      <c r="G372" s="37">
        <f>'2020-2022 год Приложение  4'!H223</f>
        <v>16351</v>
      </c>
      <c r="H372" s="37">
        <f>'2020-2022 год Приложение  4'!I223</f>
        <v>16351</v>
      </c>
      <c r="I372" s="26"/>
      <c r="J372" s="26"/>
      <c r="K372" s="26"/>
    </row>
    <row r="373" spans="1:11" ht="94.5">
      <c r="A373" s="94" t="s">
        <v>64</v>
      </c>
      <c r="B373" s="15" t="s">
        <v>383</v>
      </c>
      <c r="C373" s="92"/>
      <c r="D373" s="37">
        <f>D374</f>
        <v>13241.7</v>
      </c>
      <c r="E373" s="37">
        <f>E374</f>
        <v>0</v>
      </c>
      <c r="F373" s="37">
        <f>F374</f>
        <v>13241.7</v>
      </c>
      <c r="G373" s="37">
        <f>G374</f>
        <v>0</v>
      </c>
      <c r="H373" s="37">
        <f>H374</f>
        <v>0</v>
      </c>
      <c r="I373" s="26"/>
      <c r="J373" s="26"/>
      <c r="K373" s="26"/>
    </row>
    <row r="374" spans="1:11" ht="31.5">
      <c r="A374" s="91" t="s">
        <v>29</v>
      </c>
      <c r="B374" s="15" t="s">
        <v>383</v>
      </c>
      <c r="C374" s="92" t="s">
        <v>24</v>
      </c>
      <c r="D374" s="37">
        <f>'2020-2022 год Приложение  4'!E225</f>
        <v>13241.7</v>
      </c>
      <c r="E374" s="37">
        <f>'2020-2022 год Приложение  4'!F225</f>
        <v>0</v>
      </c>
      <c r="F374" s="37">
        <f>'2020-2022 год Приложение  4'!G225</f>
        <v>13241.7</v>
      </c>
      <c r="G374" s="37">
        <f>'2020-2022 год Приложение  4'!H225</f>
        <v>0</v>
      </c>
      <c r="H374" s="37">
        <f>'2020-2022 год Приложение  4'!I225</f>
        <v>0</v>
      </c>
      <c r="I374" s="26"/>
      <c r="J374" s="26"/>
      <c r="K374" s="26"/>
    </row>
    <row r="375" spans="1:11" ht="31.5">
      <c r="A375" s="61" t="s">
        <v>226</v>
      </c>
      <c r="B375" s="15" t="s">
        <v>252</v>
      </c>
      <c r="C375" s="42"/>
      <c r="D375" s="37">
        <f>D376</f>
        <v>1669</v>
      </c>
      <c r="E375" s="37">
        <f>E376</f>
        <v>0</v>
      </c>
      <c r="F375" s="37">
        <f>F376</f>
        <v>1669</v>
      </c>
      <c r="G375" s="37">
        <f>G376</f>
        <v>1669</v>
      </c>
      <c r="H375" s="37">
        <f>H376</f>
        <v>1669</v>
      </c>
      <c r="I375" s="26"/>
      <c r="J375" s="26"/>
      <c r="K375" s="26"/>
    </row>
    <row r="376" spans="1:11" ht="15.75">
      <c r="A376" s="40" t="s">
        <v>27</v>
      </c>
      <c r="B376" s="15" t="s">
        <v>252</v>
      </c>
      <c r="C376" s="42" t="s">
        <v>16</v>
      </c>
      <c r="D376" s="37">
        <f>'2020-2022 год Приложение  4'!E227</f>
        <v>1669</v>
      </c>
      <c r="E376" s="37">
        <f>'2020-2022 год Приложение  4'!F227</f>
        <v>0</v>
      </c>
      <c r="F376" s="37">
        <f>'2020-2022 год Приложение  4'!G227</f>
        <v>1669</v>
      </c>
      <c r="G376" s="37">
        <f>'2020-2022 год Приложение  4'!H227</f>
        <v>1669</v>
      </c>
      <c r="H376" s="37">
        <f>'2020-2022 год Приложение  4'!I227</f>
        <v>1669</v>
      </c>
      <c r="I376" s="26"/>
      <c r="J376" s="26"/>
      <c r="K376" s="26"/>
    </row>
    <row r="377" spans="1:10" ht="47.25">
      <c r="A377" s="61" t="s">
        <v>225</v>
      </c>
      <c r="B377" s="15" t="s">
        <v>251</v>
      </c>
      <c r="C377" s="42"/>
      <c r="D377" s="37">
        <f>D378</f>
        <v>1669</v>
      </c>
      <c r="E377" s="37">
        <f>E378</f>
        <v>0</v>
      </c>
      <c r="F377" s="37">
        <f>F378</f>
        <v>1669</v>
      </c>
      <c r="G377" s="37">
        <f>G378</f>
        <v>1669</v>
      </c>
      <c r="H377" s="37">
        <f>H378</f>
        <v>1669</v>
      </c>
      <c r="I377" s="26"/>
      <c r="J377" s="26"/>
    </row>
    <row r="378" spans="1:11" ht="15.75">
      <c r="A378" s="41" t="s">
        <v>27</v>
      </c>
      <c r="B378" s="15" t="s">
        <v>251</v>
      </c>
      <c r="C378" s="42" t="s">
        <v>16</v>
      </c>
      <c r="D378" s="37">
        <f>'2020-2022 год Приложение  4'!E229</f>
        <v>1669</v>
      </c>
      <c r="E378" s="37">
        <f>'2020-2022 год Приложение  4'!F229</f>
        <v>0</v>
      </c>
      <c r="F378" s="37">
        <f>'2020-2022 год Приложение  4'!G229</f>
        <v>1669</v>
      </c>
      <c r="G378" s="37">
        <f>'2020-2022 год Приложение  4'!H229</f>
        <v>1669</v>
      </c>
      <c r="H378" s="37">
        <f>'2020-2022 год Приложение  4'!I229</f>
        <v>1669</v>
      </c>
      <c r="I378" s="26"/>
      <c r="J378" s="26"/>
      <c r="K378" s="26"/>
    </row>
    <row r="379" spans="1:10" ht="54.75" customHeight="1">
      <c r="A379" s="40" t="s">
        <v>199</v>
      </c>
      <c r="B379" s="15" t="s">
        <v>221</v>
      </c>
      <c r="C379" s="42"/>
      <c r="D379" s="37">
        <f>D380</f>
        <v>6256.9</v>
      </c>
      <c r="E379" s="37">
        <f>E380</f>
        <v>0</v>
      </c>
      <c r="F379" s="37">
        <f>F380</f>
        <v>6256.9</v>
      </c>
      <c r="G379" s="37">
        <f>G380</f>
        <v>0</v>
      </c>
      <c r="H379" s="37">
        <f>H380</f>
        <v>0</v>
      </c>
      <c r="I379" s="26"/>
      <c r="J379" s="26"/>
    </row>
    <row r="380" spans="1:11" ht="15.75">
      <c r="A380" s="40" t="s">
        <v>27</v>
      </c>
      <c r="B380" s="15" t="s">
        <v>221</v>
      </c>
      <c r="C380" s="42" t="s">
        <v>16</v>
      </c>
      <c r="D380" s="37">
        <f>'2020-2022 год Приложение  4'!E231</f>
        <v>6256.9</v>
      </c>
      <c r="E380" s="37">
        <f>'2020-2022 год Приложение  4'!F231</f>
        <v>0</v>
      </c>
      <c r="F380" s="37">
        <f>'2020-2022 год Приложение  4'!G231</f>
        <v>6256.9</v>
      </c>
      <c r="G380" s="37">
        <f>'2020-2022 год Приложение  4'!H231</f>
        <v>0</v>
      </c>
      <c r="H380" s="37">
        <f>'2020-2022 год Приложение  4'!I231</f>
        <v>0</v>
      </c>
      <c r="I380" s="26"/>
      <c r="J380" s="26"/>
      <c r="K380" s="26"/>
    </row>
    <row r="381" spans="1:10" ht="31.5">
      <c r="A381" s="10" t="s">
        <v>316</v>
      </c>
      <c r="B381" s="11" t="s">
        <v>171</v>
      </c>
      <c r="C381" s="11" t="s">
        <v>0</v>
      </c>
      <c r="D381" s="12">
        <f>D382+D384</f>
        <v>180</v>
      </c>
      <c r="E381" s="12">
        <f>E382+E384</f>
        <v>0</v>
      </c>
      <c r="F381" s="12">
        <f>F382+F384</f>
        <v>180</v>
      </c>
      <c r="G381" s="12">
        <f>G382+G384</f>
        <v>100</v>
      </c>
      <c r="H381" s="12">
        <f>H382+H384</f>
        <v>100</v>
      </c>
      <c r="I381" s="26"/>
      <c r="J381" s="26"/>
    </row>
    <row r="382" spans="1:10" ht="31.5">
      <c r="A382" s="14" t="s">
        <v>36</v>
      </c>
      <c r="B382" s="15" t="s">
        <v>172</v>
      </c>
      <c r="C382" s="15"/>
      <c r="D382" s="17">
        <f>D383</f>
        <v>80</v>
      </c>
      <c r="E382" s="17">
        <f>E383</f>
        <v>0</v>
      </c>
      <c r="F382" s="17">
        <f>F383</f>
        <v>80</v>
      </c>
      <c r="G382" s="17">
        <f>G383</f>
        <v>80</v>
      </c>
      <c r="H382" s="17">
        <f>H383</f>
        <v>80</v>
      </c>
      <c r="I382" s="26"/>
      <c r="J382" s="26"/>
    </row>
    <row r="383" spans="1:10" ht="31.5">
      <c r="A383" s="61" t="s">
        <v>10</v>
      </c>
      <c r="B383" s="15" t="s">
        <v>172</v>
      </c>
      <c r="C383" s="27" t="s">
        <v>11</v>
      </c>
      <c r="D383" s="37">
        <f>'2020-2022 год Приложение  4'!E234</f>
        <v>80</v>
      </c>
      <c r="E383" s="37">
        <f>'2020-2022 год Приложение  4'!F234</f>
        <v>0</v>
      </c>
      <c r="F383" s="37">
        <f>'2020-2022 год Приложение  4'!G234</f>
        <v>80</v>
      </c>
      <c r="G383" s="37">
        <f>'2020-2022 год Приложение  4'!H234</f>
        <v>80</v>
      </c>
      <c r="H383" s="37">
        <f>'2020-2022 год Приложение  4'!I234</f>
        <v>80</v>
      </c>
      <c r="I383" s="26"/>
      <c r="J383" s="26"/>
    </row>
    <row r="384" spans="1:10" ht="47.25">
      <c r="A384" s="14" t="s">
        <v>200</v>
      </c>
      <c r="B384" s="15" t="s">
        <v>195</v>
      </c>
      <c r="C384" s="15"/>
      <c r="D384" s="17">
        <f>D385</f>
        <v>100</v>
      </c>
      <c r="E384" s="17">
        <f>E385</f>
        <v>0</v>
      </c>
      <c r="F384" s="17">
        <f>F385</f>
        <v>100</v>
      </c>
      <c r="G384" s="17">
        <f>G385</f>
        <v>20</v>
      </c>
      <c r="H384" s="17">
        <f>H385</f>
        <v>20</v>
      </c>
      <c r="I384" s="26"/>
      <c r="J384" s="26"/>
    </row>
    <row r="385" spans="1:10" ht="31.5">
      <c r="A385" s="22" t="s">
        <v>10</v>
      </c>
      <c r="B385" s="15" t="s">
        <v>195</v>
      </c>
      <c r="C385" s="42" t="s">
        <v>11</v>
      </c>
      <c r="D385" s="37">
        <f>'2020-2022 год Приложение  4'!E236</f>
        <v>100</v>
      </c>
      <c r="E385" s="37">
        <f>'2020-2022 год Приложение  4'!F236</f>
        <v>0</v>
      </c>
      <c r="F385" s="37">
        <f>'2020-2022 год Приложение  4'!G236</f>
        <v>100</v>
      </c>
      <c r="G385" s="37">
        <f>'2020-2022 год Приложение  4'!H236</f>
        <v>20</v>
      </c>
      <c r="H385" s="37">
        <f>'2020-2022 год Приложение  4'!I236</f>
        <v>20</v>
      </c>
      <c r="I385" s="26"/>
      <c r="J385" s="26"/>
    </row>
    <row r="386" spans="1:10" ht="15.75">
      <c r="A386" s="32" t="s">
        <v>30</v>
      </c>
      <c r="B386" s="33" t="s">
        <v>96</v>
      </c>
      <c r="C386" s="33" t="s">
        <v>0</v>
      </c>
      <c r="D386" s="34">
        <f>D387+D389+D393+D399+D426+D430+D432+D434+D436+D438+D448+D440+D428+D452+D422+D442+D444+D424+D420+D450+D402+D404+D406+D408+D410+D412+D414+D397+D418+D446+D416</f>
        <v>99218.90000000004</v>
      </c>
      <c r="E386" s="34">
        <f>E387+E389+E393+E399+E426+E430+E432+E434+E436+E438+E448+E440+E428+E452+E422+E442+E444+E424+E420+E450+E402+E404+E406+E408+E410+E412+E414+E397+E418+E446+E416</f>
        <v>9775</v>
      </c>
      <c r="F386" s="34">
        <f>F387+F389+F393+F399+F426+F430+F432+F434+F436+F438+F448+F440+F428+F452+F422+F442+F444+F424+F420+F450+F402+F404+F406+F408+F410+F412+F414+F397+F418+F446+F416</f>
        <v>108993.90000000004</v>
      </c>
      <c r="G386" s="34">
        <f>G387+G389+G393+G399+G426+G430+G432+G434+G436+G438+G448+G440+G428+G452+G422+G442+G444+G424+G420+G450+G402+G404+G406+G408+G410+G412+G414+G397+G418+G446+G416</f>
        <v>52745.3</v>
      </c>
      <c r="H386" s="34">
        <f>H387+H389+H393+H399+H426+H430+H432+H434+H436+H438+H448+H440+H428+H452+H422+H442+H444+H424+H420+H450+H402+H404+H406+H408+H410+H412+H414+H397+H418+H446+H416</f>
        <v>60848.1</v>
      </c>
      <c r="I386" s="26"/>
      <c r="J386" s="26"/>
    </row>
    <row r="387" spans="1:10" ht="31.5">
      <c r="A387" s="23" t="s">
        <v>193</v>
      </c>
      <c r="B387" s="42" t="s">
        <v>105</v>
      </c>
      <c r="C387" s="21"/>
      <c r="D387" s="43">
        <f>D388</f>
        <v>1367.8</v>
      </c>
      <c r="E387" s="43">
        <f>E388</f>
        <v>0</v>
      </c>
      <c r="F387" s="43">
        <f>F388</f>
        <v>1367.8</v>
      </c>
      <c r="G387" s="43">
        <f>G388</f>
        <v>1335</v>
      </c>
      <c r="H387" s="43">
        <f>H388</f>
        <v>1367.8</v>
      </c>
      <c r="I387" s="26"/>
      <c r="J387" s="26"/>
    </row>
    <row r="388" spans="1:10" ht="63">
      <c r="A388" s="44" t="s">
        <v>14</v>
      </c>
      <c r="B388" s="42" t="s">
        <v>105</v>
      </c>
      <c r="C388" s="21" t="s">
        <v>15</v>
      </c>
      <c r="D388" s="43">
        <f>'2020-2022 год Приложение  4'!E20</f>
        <v>1367.8</v>
      </c>
      <c r="E388" s="43">
        <f>'2020-2022 год Приложение  4'!F20</f>
        <v>0</v>
      </c>
      <c r="F388" s="43">
        <f>'2020-2022 год Приложение  4'!G20</f>
        <v>1367.8</v>
      </c>
      <c r="G388" s="43">
        <f>'2020-2022 год Приложение  4'!H20</f>
        <v>1335</v>
      </c>
      <c r="H388" s="43">
        <f>'2020-2022 год Приложение  4'!I20</f>
        <v>1367.8</v>
      </c>
      <c r="I388" s="26"/>
      <c r="J388" s="26"/>
    </row>
    <row r="389" spans="1:10" ht="31.5">
      <c r="A389" s="44" t="s">
        <v>31</v>
      </c>
      <c r="B389" s="42" t="s">
        <v>106</v>
      </c>
      <c r="C389" s="42" t="s">
        <v>0</v>
      </c>
      <c r="D389" s="43">
        <f>D391+D392+D390</f>
        <v>327.2</v>
      </c>
      <c r="E389" s="43">
        <f>E391+E392+E390</f>
        <v>0</v>
      </c>
      <c r="F389" s="43">
        <f>F391+F392+F390</f>
        <v>327.2</v>
      </c>
      <c r="G389" s="43">
        <f>G391+G392+G390</f>
        <v>304.3</v>
      </c>
      <c r="H389" s="43">
        <f>H391+H392+H390</f>
        <v>312.2</v>
      </c>
      <c r="I389" s="26"/>
      <c r="J389" s="26"/>
    </row>
    <row r="390" spans="1:10" ht="63">
      <c r="A390" s="52" t="s">
        <v>14</v>
      </c>
      <c r="B390" s="42" t="s">
        <v>106</v>
      </c>
      <c r="C390" s="42" t="s">
        <v>15</v>
      </c>
      <c r="D390" s="43">
        <f>'2020-2022 год Приложение  4'!E22</f>
        <v>0</v>
      </c>
      <c r="E390" s="43" t="str">
        <f>'2020-2022 год Приложение  4'!F22</f>
        <v>1,5</v>
      </c>
      <c r="F390" s="43">
        <f>D390+E390</f>
        <v>1.5</v>
      </c>
      <c r="G390" s="43">
        <f>'2020-2022 год Приложение  4'!H22</f>
        <v>0</v>
      </c>
      <c r="H390" s="43">
        <f>'2020-2022 год Приложение  4'!I22</f>
        <v>0</v>
      </c>
      <c r="I390" s="26"/>
      <c r="J390" s="26"/>
    </row>
    <row r="391" spans="1:10" ht="47.25">
      <c r="A391" s="45" t="s">
        <v>453</v>
      </c>
      <c r="B391" s="42" t="s">
        <v>106</v>
      </c>
      <c r="C391" s="42" t="s">
        <v>8</v>
      </c>
      <c r="D391" s="43">
        <f>'2020-2022 год Приложение  4'!E23</f>
        <v>324</v>
      </c>
      <c r="E391" s="43" t="str">
        <f>'2020-2022 год Приложение  4'!F23</f>
        <v>-1,5</v>
      </c>
      <c r="F391" s="43">
        <f>'2020-2022 год Приложение  4'!G23</f>
        <v>322.5</v>
      </c>
      <c r="G391" s="43">
        <f>'2020-2022 год Приложение  4'!H23</f>
        <v>301</v>
      </c>
      <c r="H391" s="43">
        <f>'2020-2022 год Приложение  4'!I23</f>
        <v>309</v>
      </c>
      <c r="I391" s="26"/>
      <c r="J391" s="26"/>
    </row>
    <row r="392" spans="1:10" ht="15.75">
      <c r="A392" s="45" t="s">
        <v>9</v>
      </c>
      <c r="B392" s="42" t="s">
        <v>106</v>
      </c>
      <c r="C392" s="42" t="s">
        <v>12</v>
      </c>
      <c r="D392" s="43">
        <f>'2020-2022 год Приложение  4'!E24</f>
        <v>3.2</v>
      </c>
      <c r="E392" s="43">
        <f>'2020-2022 год Приложение  4'!F24</f>
        <v>0</v>
      </c>
      <c r="F392" s="43">
        <f>'2020-2022 год Приложение  4'!G24</f>
        <v>3.2</v>
      </c>
      <c r="G392" s="43">
        <f>'2020-2022 год Приложение  4'!H24</f>
        <v>3.3</v>
      </c>
      <c r="H392" s="43">
        <f>'2020-2022 год Приложение  4'!I24</f>
        <v>3.2</v>
      </c>
      <c r="I392" s="26"/>
      <c r="J392" s="26"/>
    </row>
    <row r="393" spans="1:10" ht="31.5">
      <c r="A393" s="44" t="s">
        <v>32</v>
      </c>
      <c r="B393" s="42" t="s">
        <v>104</v>
      </c>
      <c r="C393" s="42" t="s">
        <v>0</v>
      </c>
      <c r="D393" s="43">
        <f>D394+D395+D396</f>
        <v>2779.0000000000005</v>
      </c>
      <c r="E393" s="43">
        <f>E394+E395+E396</f>
        <v>0</v>
      </c>
      <c r="F393" s="43">
        <f>F394+F395+F396</f>
        <v>2779.0000000000005</v>
      </c>
      <c r="G393" s="43">
        <f>G394+G395+G396</f>
        <v>2567.4000000000005</v>
      </c>
      <c r="H393" s="43">
        <f>H394+H395+H396</f>
        <v>2589</v>
      </c>
      <c r="I393" s="26"/>
      <c r="J393" s="26"/>
    </row>
    <row r="394" spans="1:10" ht="63">
      <c r="A394" s="44" t="s">
        <v>14</v>
      </c>
      <c r="B394" s="42" t="s">
        <v>104</v>
      </c>
      <c r="C394" s="42" t="s">
        <v>15</v>
      </c>
      <c r="D394" s="43">
        <f>'2020-2022 год Приложение  4'!E26</f>
        <v>2482.8</v>
      </c>
      <c r="E394" s="43">
        <f>'2020-2022 год Приложение  4'!F26</f>
        <v>0</v>
      </c>
      <c r="F394" s="43">
        <f>'2020-2022 год Приложение  4'!G26</f>
        <v>2482.8</v>
      </c>
      <c r="G394" s="43">
        <f>'2020-2022 год Приложение  4'!H26</f>
        <v>2452.8</v>
      </c>
      <c r="H394" s="43">
        <f>'2020-2022 год Приложение  4'!I26</f>
        <v>2469.5</v>
      </c>
      <c r="I394" s="26"/>
      <c r="J394" s="26"/>
    </row>
    <row r="395" spans="1:10" ht="47.25">
      <c r="A395" s="45" t="s">
        <v>453</v>
      </c>
      <c r="B395" s="42" t="s">
        <v>104</v>
      </c>
      <c r="C395" s="21" t="s">
        <v>8</v>
      </c>
      <c r="D395" s="43">
        <f>'2020-2022 год Приложение  4'!E27</f>
        <v>294.4</v>
      </c>
      <c r="E395" s="43">
        <f>'2020-2022 год Приложение  4'!F27</f>
        <v>0</v>
      </c>
      <c r="F395" s="43">
        <f>'2020-2022 год Приложение  4'!G27</f>
        <v>294.4</v>
      </c>
      <c r="G395" s="43">
        <f>'2020-2022 год Приложение  4'!H27</f>
        <v>112.8</v>
      </c>
      <c r="H395" s="43">
        <f>'2020-2022 год Приложение  4'!I27</f>
        <v>117.7</v>
      </c>
      <c r="I395" s="26"/>
      <c r="J395" s="26"/>
    </row>
    <row r="396" spans="1:10" ht="15.75">
      <c r="A396" s="45" t="s">
        <v>9</v>
      </c>
      <c r="B396" s="42" t="s">
        <v>104</v>
      </c>
      <c r="C396" s="21" t="s">
        <v>12</v>
      </c>
      <c r="D396" s="43">
        <f>'2020-2022 год Приложение  4'!E28</f>
        <v>1.8</v>
      </c>
      <c r="E396" s="43">
        <f>'2020-2022 год Приложение  4'!F28</f>
        <v>0</v>
      </c>
      <c r="F396" s="43">
        <f>'2020-2022 год Приложение  4'!G28</f>
        <v>1.8</v>
      </c>
      <c r="G396" s="43">
        <f>'2020-2022 год Приложение  4'!H28</f>
        <v>1.8</v>
      </c>
      <c r="H396" s="43">
        <f>'2020-2022 год Приложение  4'!I28</f>
        <v>1.8</v>
      </c>
      <c r="I396" s="26"/>
      <c r="J396" s="26"/>
    </row>
    <row r="397" spans="1:10" ht="15.75">
      <c r="A397" s="22" t="s">
        <v>412</v>
      </c>
      <c r="B397" s="42" t="s">
        <v>413</v>
      </c>
      <c r="C397" s="60"/>
      <c r="D397" s="43">
        <f>D398</f>
        <v>2699.5</v>
      </c>
      <c r="E397" s="43">
        <f>E398</f>
        <v>0</v>
      </c>
      <c r="F397" s="43">
        <f>F398</f>
        <v>2699.5</v>
      </c>
      <c r="G397" s="43">
        <f>G398</f>
        <v>0</v>
      </c>
      <c r="H397" s="43">
        <f>H398</f>
        <v>0</v>
      </c>
      <c r="I397" s="26"/>
      <c r="J397" s="26"/>
    </row>
    <row r="398" spans="1:10" ht="15.75">
      <c r="A398" s="46" t="s">
        <v>9</v>
      </c>
      <c r="B398" s="42" t="s">
        <v>413</v>
      </c>
      <c r="C398" s="42" t="s">
        <v>12</v>
      </c>
      <c r="D398" s="43">
        <f>'2020-2022 год Приложение  4'!E239</f>
        <v>2699.5</v>
      </c>
      <c r="E398" s="43">
        <f>'2020-2022 год Приложение  4'!F239</f>
        <v>0</v>
      </c>
      <c r="F398" s="43">
        <f>E398+D398</f>
        <v>2699.5</v>
      </c>
      <c r="G398" s="43">
        <f>'2020-2022 год Приложение  4'!H239</f>
        <v>0</v>
      </c>
      <c r="H398" s="43">
        <f>'2020-2022 год Приложение  4'!I239</f>
        <v>0</v>
      </c>
      <c r="I398" s="26"/>
      <c r="J398" s="26"/>
    </row>
    <row r="399" spans="1:10" ht="31.5">
      <c r="A399" s="22" t="s">
        <v>60</v>
      </c>
      <c r="B399" s="42" t="s">
        <v>103</v>
      </c>
      <c r="C399" s="60"/>
      <c r="D399" s="43">
        <f>D401+D400</f>
        <v>44117</v>
      </c>
      <c r="E399" s="43">
        <f>E401+E400</f>
        <v>75</v>
      </c>
      <c r="F399" s="43">
        <f>F401+F400</f>
        <v>44192</v>
      </c>
      <c r="G399" s="43">
        <f>G401+G400</f>
        <v>10725</v>
      </c>
      <c r="H399" s="43">
        <f>H401+H400</f>
        <v>0</v>
      </c>
      <c r="I399" s="26"/>
      <c r="J399" s="26"/>
    </row>
    <row r="400" spans="1:10" ht="47.25">
      <c r="A400" s="45" t="s">
        <v>453</v>
      </c>
      <c r="B400" s="42" t="s">
        <v>103</v>
      </c>
      <c r="C400" s="42" t="s">
        <v>8</v>
      </c>
      <c r="D400" s="43">
        <f>'2020-2022 год Приложение  4'!E461+'2020-2022 год Приложение  4'!E365+'2020-2022 год Приложение  4'!E241</f>
        <v>5777.4</v>
      </c>
      <c r="E400" s="43">
        <f>'2020-2022 год Приложение  4'!F461+'2020-2022 год Приложение  4'!F365+'2020-2022 год Приложение  4'!F241</f>
        <v>75</v>
      </c>
      <c r="F400" s="43">
        <f>D400+E400</f>
        <v>5852.4</v>
      </c>
      <c r="G400" s="43">
        <f>'2020-2022 год Приложение  4'!H461+'2020-2022 год Приложение  4'!H365+'2020-2022 год Приложение  4'!H241</f>
        <v>5000</v>
      </c>
      <c r="H400" s="43">
        <f>'2020-2022 год Приложение  4'!I461+'2020-2022 год Приложение  4'!I365+'2020-2022 год Приложение  4'!I241</f>
        <v>0</v>
      </c>
      <c r="I400" s="26"/>
      <c r="J400" s="26"/>
    </row>
    <row r="401" spans="1:10" ht="15.75">
      <c r="A401" s="46" t="s">
        <v>9</v>
      </c>
      <c r="B401" s="42" t="s">
        <v>103</v>
      </c>
      <c r="C401" s="42" t="s">
        <v>12</v>
      </c>
      <c r="D401" s="43">
        <f>'2020-2022 год Приложение  4'!E242+'2020-2022 год Приложение  4'!E366+'2020-2022 год Приложение  4'!E462</f>
        <v>38339.6</v>
      </c>
      <c r="E401" s="43">
        <f>'2020-2022 год Приложение  4'!F462+'2020-2022 год Приложение  4'!F366+'2020-2022 год Приложение  4'!F242</f>
        <v>0</v>
      </c>
      <c r="F401" s="43">
        <f>E401+D401</f>
        <v>38339.6</v>
      </c>
      <c r="G401" s="43">
        <f>'2020-2022 год Приложение  4'!H462+'2020-2022 год Приложение  4'!H366</f>
        <v>5725</v>
      </c>
      <c r="H401" s="43">
        <f>'2020-2022 год Приложение  4'!I462+'2020-2022 год Приложение  4'!I366</f>
        <v>0</v>
      </c>
      <c r="I401" s="26"/>
      <c r="J401" s="26"/>
    </row>
    <row r="402" spans="1:10" ht="63">
      <c r="A402" s="22" t="s">
        <v>397</v>
      </c>
      <c r="B402" s="42" t="s">
        <v>398</v>
      </c>
      <c r="C402" s="21"/>
      <c r="D402" s="43">
        <f>D403</f>
        <v>34.1</v>
      </c>
      <c r="E402" s="43">
        <f>E403</f>
        <v>0</v>
      </c>
      <c r="F402" s="43">
        <f>F403</f>
        <v>34.1</v>
      </c>
      <c r="G402" s="43">
        <f>G403</f>
        <v>0</v>
      </c>
      <c r="H402" s="43">
        <f>H403</f>
        <v>0</v>
      </c>
      <c r="I402" s="26"/>
      <c r="J402" s="26"/>
    </row>
    <row r="403" spans="1:10" ht="47.25">
      <c r="A403" s="45" t="s">
        <v>453</v>
      </c>
      <c r="B403" s="42" t="s">
        <v>398</v>
      </c>
      <c r="C403" s="21" t="s">
        <v>8</v>
      </c>
      <c r="D403" s="43">
        <f>'2020-2022 год Приложение  4'!E464</f>
        <v>34.1</v>
      </c>
      <c r="E403" s="43">
        <f>'2020-2022 год Приложение  4'!F464</f>
        <v>0</v>
      </c>
      <c r="F403" s="43">
        <f>D403+E403</f>
        <v>34.1</v>
      </c>
      <c r="G403" s="43">
        <f>'2020-2022 год Приложение  4'!H464</f>
        <v>0</v>
      </c>
      <c r="H403" s="43">
        <f>'2020-2022 год Приложение  4'!I464</f>
        <v>0</v>
      </c>
      <c r="I403" s="26"/>
      <c r="J403" s="26"/>
    </row>
    <row r="404" spans="1:10" ht="126">
      <c r="A404" s="101" t="s">
        <v>400</v>
      </c>
      <c r="B404" s="42" t="s">
        <v>401</v>
      </c>
      <c r="C404" s="42"/>
      <c r="D404" s="43">
        <f>D405</f>
        <v>19.3</v>
      </c>
      <c r="E404" s="43">
        <f>E405</f>
        <v>0</v>
      </c>
      <c r="F404" s="43">
        <f>F405</f>
        <v>19.3</v>
      </c>
      <c r="G404" s="43">
        <f>G405</f>
        <v>0</v>
      </c>
      <c r="H404" s="43">
        <f>H405</f>
        <v>0</v>
      </c>
      <c r="I404" s="26"/>
      <c r="J404" s="26"/>
    </row>
    <row r="405" spans="1:10" ht="47.25">
      <c r="A405" s="45" t="s">
        <v>453</v>
      </c>
      <c r="B405" s="42" t="s">
        <v>401</v>
      </c>
      <c r="C405" s="42" t="s">
        <v>8</v>
      </c>
      <c r="D405" s="43">
        <f>'2020-2022 год Приложение  4'!E244</f>
        <v>19.3</v>
      </c>
      <c r="E405" s="43">
        <f>'2020-2022 год Приложение  4'!F244</f>
        <v>0</v>
      </c>
      <c r="F405" s="43">
        <f>'2020-2022 год Приложение  4'!G244</f>
        <v>19.3</v>
      </c>
      <c r="G405" s="43">
        <f>'2020-2022 год Приложение  4'!H244</f>
        <v>0</v>
      </c>
      <c r="H405" s="43">
        <f>'2020-2022 год Приложение  4'!I244</f>
        <v>0</v>
      </c>
      <c r="I405" s="26"/>
      <c r="J405" s="26"/>
    </row>
    <row r="406" spans="1:10" ht="63">
      <c r="A406" s="137" t="s">
        <v>402</v>
      </c>
      <c r="B406" s="42" t="s">
        <v>403</v>
      </c>
      <c r="C406" s="42"/>
      <c r="D406" s="43">
        <f>D407</f>
        <v>42.3</v>
      </c>
      <c r="E406" s="43">
        <f>E407</f>
        <v>0</v>
      </c>
      <c r="F406" s="43">
        <f>F407</f>
        <v>42.3</v>
      </c>
      <c r="G406" s="43">
        <f>G407</f>
        <v>0</v>
      </c>
      <c r="H406" s="43">
        <f>H407</f>
        <v>0</v>
      </c>
      <c r="I406" s="26"/>
      <c r="J406" s="26"/>
    </row>
    <row r="407" spans="1:10" ht="47.25">
      <c r="A407" s="45" t="s">
        <v>453</v>
      </c>
      <c r="B407" s="42" t="s">
        <v>403</v>
      </c>
      <c r="C407" s="42" t="s">
        <v>8</v>
      </c>
      <c r="D407" s="43">
        <f>'2020-2022 год Приложение  4'!E246</f>
        <v>42.3</v>
      </c>
      <c r="E407" s="43">
        <f>'2020-2022 год Приложение  4'!F246</f>
        <v>0</v>
      </c>
      <c r="F407" s="43">
        <f>'2020-2022 год Приложение  4'!G246</f>
        <v>42.3</v>
      </c>
      <c r="G407" s="43">
        <f>'2020-2022 год Приложение  4'!H246</f>
        <v>0</v>
      </c>
      <c r="H407" s="43">
        <f>'2020-2022 год Приложение  4'!I246</f>
        <v>0</v>
      </c>
      <c r="I407" s="26"/>
      <c r="J407" s="26"/>
    </row>
    <row r="408" spans="1:10" ht="63">
      <c r="A408" s="46" t="s">
        <v>404</v>
      </c>
      <c r="B408" s="42" t="s">
        <v>405</v>
      </c>
      <c r="C408" s="21"/>
      <c r="D408" s="43">
        <f>D409</f>
        <v>38.6</v>
      </c>
      <c r="E408" s="43">
        <f>E409</f>
        <v>0</v>
      </c>
      <c r="F408" s="43">
        <f>F409</f>
        <v>38.6</v>
      </c>
      <c r="G408" s="43">
        <f>G409</f>
        <v>0</v>
      </c>
      <c r="H408" s="43">
        <f>H409</f>
        <v>0</v>
      </c>
      <c r="I408" s="26"/>
      <c r="J408" s="26"/>
    </row>
    <row r="409" spans="1:10" ht="47.25">
      <c r="A409" s="45" t="s">
        <v>453</v>
      </c>
      <c r="B409" s="42" t="s">
        <v>405</v>
      </c>
      <c r="C409" s="21" t="s">
        <v>8</v>
      </c>
      <c r="D409" s="43">
        <f>'2020-2022 год Приложение  4'!E248</f>
        <v>38.6</v>
      </c>
      <c r="E409" s="43">
        <f>'2020-2022 год Приложение  4'!F248</f>
        <v>0</v>
      </c>
      <c r="F409" s="43">
        <f>'2020-2022 год Приложение  4'!G248</f>
        <v>38.6</v>
      </c>
      <c r="G409" s="43">
        <f>'2020-2022 год Приложение  4'!H248</f>
        <v>0</v>
      </c>
      <c r="H409" s="43">
        <f>'2020-2022 год Приложение  4'!I248</f>
        <v>0</v>
      </c>
      <c r="I409" s="26"/>
      <c r="J409" s="26"/>
    </row>
    <row r="410" spans="1:10" ht="63">
      <c r="A410" s="46" t="s">
        <v>406</v>
      </c>
      <c r="B410" s="42" t="s">
        <v>407</v>
      </c>
      <c r="C410" s="21"/>
      <c r="D410" s="43">
        <f>D411</f>
        <v>10.6</v>
      </c>
      <c r="E410" s="43">
        <f>E411</f>
        <v>0</v>
      </c>
      <c r="F410" s="43">
        <f>F411</f>
        <v>10.6</v>
      </c>
      <c r="G410" s="43">
        <f>G411</f>
        <v>0</v>
      </c>
      <c r="H410" s="43">
        <f>H411</f>
        <v>0</v>
      </c>
      <c r="I410" s="26"/>
      <c r="J410" s="26"/>
    </row>
    <row r="411" spans="1:10" ht="47.25">
      <c r="A411" s="45" t="s">
        <v>453</v>
      </c>
      <c r="B411" s="42" t="s">
        <v>407</v>
      </c>
      <c r="C411" s="21" t="s">
        <v>8</v>
      </c>
      <c r="D411" s="43">
        <f>'2020-2022 год Приложение  4'!E250</f>
        <v>10.6</v>
      </c>
      <c r="E411" s="43">
        <f>'2020-2022 год Приложение  4'!F250</f>
        <v>0</v>
      </c>
      <c r="F411" s="43">
        <f>'2020-2022 год Приложение  4'!G250</f>
        <v>10.6</v>
      </c>
      <c r="G411" s="43">
        <f>'2020-2022 год Приложение  4'!H250</f>
        <v>0</v>
      </c>
      <c r="H411" s="43">
        <f>'2020-2022 год Приложение  4'!I250</f>
        <v>0</v>
      </c>
      <c r="I411" s="26"/>
      <c r="J411" s="26"/>
    </row>
    <row r="412" spans="1:10" ht="78.75">
      <c r="A412" s="101" t="s">
        <v>408</v>
      </c>
      <c r="B412" s="42" t="s">
        <v>409</v>
      </c>
      <c r="C412" s="21"/>
      <c r="D412" s="43">
        <f>D413</f>
        <v>123.1</v>
      </c>
      <c r="E412" s="43">
        <f>E413</f>
        <v>0</v>
      </c>
      <c r="F412" s="43">
        <f>F413</f>
        <v>123.1</v>
      </c>
      <c r="G412" s="43">
        <f>G413</f>
        <v>0</v>
      </c>
      <c r="H412" s="43">
        <f>H413</f>
        <v>0</v>
      </c>
      <c r="I412" s="26"/>
      <c r="J412" s="26"/>
    </row>
    <row r="413" spans="1:10" ht="47.25">
      <c r="A413" s="45" t="s">
        <v>453</v>
      </c>
      <c r="B413" s="42" t="s">
        <v>409</v>
      </c>
      <c r="C413" s="21" t="s">
        <v>8</v>
      </c>
      <c r="D413" s="43">
        <f>'2020-2022 год Приложение  4'!E252</f>
        <v>123.1</v>
      </c>
      <c r="E413" s="43">
        <f>'2020-2022 год Приложение  4'!F252</f>
        <v>0</v>
      </c>
      <c r="F413" s="43">
        <f>'2020-2022 год Приложение  4'!G252</f>
        <v>123.1</v>
      </c>
      <c r="G413" s="43">
        <f>'2020-2022 год Приложение  4'!H252</f>
        <v>0</v>
      </c>
      <c r="H413" s="43">
        <f>'2020-2022 год Приложение  4'!I252</f>
        <v>0</v>
      </c>
      <c r="I413" s="26"/>
      <c r="J413" s="26"/>
    </row>
    <row r="414" spans="1:10" ht="78.75">
      <c r="A414" s="101" t="s">
        <v>410</v>
      </c>
      <c r="B414" s="42" t="s">
        <v>411</v>
      </c>
      <c r="C414" s="42"/>
      <c r="D414" s="43">
        <f>D415</f>
        <v>19.4</v>
      </c>
      <c r="E414" s="43">
        <f>E415</f>
        <v>0</v>
      </c>
      <c r="F414" s="43">
        <f>F415</f>
        <v>19.4</v>
      </c>
      <c r="G414" s="43">
        <f>G415</f>
        <v>0</v>
      </c>
      <c r="H414" s="43">
        <f>H415</f>
        <v>0</v>
      </c>
      <c r="I414" s="26"/>
      <c r="J414" s="26"/>
    </row>
    <row r="415" spans="1:10" ht="47.25">
      <c r="A415" s="45" t="s">
        <v>453</v>
      </c>
      <c r="B415" s="42" t="s">
        <v>411</v>
      </c>
      <c r="C415" s="42" t="s">
        <v>8</v>
      </c>
      <c r="D415" s="43">
        <f>'2020-2022 год Приложение  4'!E254</f>
        <v>19.4</v>
      </c>
      <c r="E415" s="43">
        <f>'2020-2022 год Приложение  4'!F254</f>
        <v>0</v>
      </c>
      <c r="F415" s="43">
        <f>'2020-2022 год Приложение  4'!G254</f>
        <v>19.4</v>
      </c>
      <c r="G415" s="43">
        <f>'2020-2022 год Приложение  4'!H254</f>
        <v>0</v>
      </c>
      <c r="H415" s="43">
        <f>'2020-2022 год Приложение  4'!I254</f>
        <v>0</v>
      </c>
      <c r="I415" s="26"/>
      <c r="J415" s="26"/>
    </row>
    <row r="416" spans="1:10" ht="78.75">
      <c r="A416" s="101" t="s">
        <v>450</v>
      </c>
      <c r="B416" s="42" t="s">
        <v>449</v>
      </c>
      <c r="C416" s="42"/>
      <c r="D416" s="43">
        <f>D417</f>
        <v>60</v>
      </c>
      <c r="E416" s="43">
        <f>E417</f>
        <v>0</v>
      </c>
      <c r="F416" s="43">
        <f>F417</f>
        <v>60</v>
      </c>
      <c r="G416" s="43">
        <f>G417</f>
        <v>0</v>
      </c>
      <c r="H416" s="43">
        <f>H417</f>
        <v>0</v>
      </c>
      <c r="I416" s="26"/>
      <c r="J416" s="26"/>
    </row>
    <row r="417" spans="1:10" ht="15.75">
      <c r="A417" s="115" t="s">
        <v>42</v>
      </c>
      <c r="B417" s="42" t="s">
        <v>449</v>
      </c>
      <c r="C417" s="42" t="s">
        <v>43</v>
      </c>
      <c r="D417" s="43">
        <f>'2020-2022 год Приложение  4'!E256</f>
        <v>60</v>
      </c>
      <c r="E417" s="43">
        <f>'2020-2022 год Приложение  4'!F256</f>
        <v>0</v>
      </c>
      <c r="F417" s="43">
        <f>D417+E417</f>
        <v>60</v>
      </c>
      <c r="G417" s="43">
        <f>'2020-2022 год Приложение  4'!H256</f>
        <v>0</v>
      </c>
      <c r="H417" s="43">
        <f>'2020-2022 год Приложение  4'!I256</f>
        <v>0</v>
      </c>
      <c r="I417" s="26"/>
      <c r="J417" s="26"/>
    </row>
    <row r="418" spans="1:10" ht="31.5">
      <c r="A418" s="46" t="s">
        <v>416</v>
      </c>
      <c r="B418" s="42" t="s">
        <v>415</v>
      </c>
      <c r="C418" s="42"/>
      <c r="D418" s="43">
        <f>D419</f>
        <v>580</v>
      </c>
      <c r="E418" s="43">
        <f>E419</f>
        <v>0</v>
      </c>
      <c r="F418" s="43">
        <f>E418+D418</f>
        <v>580</v>
      </c>
      <c r="G418" s="43">
        <f>G419</f>
        <v>0</v>
      </c>
      <c r="H418" s="43">
        <f>H419</f>
        <v>0</v>
      </c>
      <c r="I418" s="26"/>
      <c r="J418" s="26"/>
    </row>
    <row r="419" spans="1:10" ht="47.25">
      <c r="A419" s="45" t="s">
        <v>453</v>
      </c>
      <c r="B419" s="42" t="s">
        <v>415</v>
      </c>
      <c r="C419" s="42" t="s">
        <v>8</v>
      </c>
      <c r="D419" s="43">
        <f>'2020-2022 год Приложение  4'!E258</f>
        <v>580</v>
      </c>
      <c r="E419" s="43">
        <f>'2020-2022 год Приложение  4'!F258</f>
        <v>0</v>
      </c>
      <c r="F419" s="43">
        <f>D419+E419</f>
        <v>580</v>
      </c>
      <c r="G419" s="43">
        <f>'2020-2022 год Приложение  4'!H258</f>
        <v>0</v>
      </c>
      <c r="H419" s="43">
        <f>'2020-2022 год Приложение  4'!I258</f>
        <v>0</v>
      </c>
      <c r="I419" s="26"/>
      <c r="J419" s="26"/>
    </row>
    <row r="420" spans="1:10" ht="31.5">
      <c r="A420" s="55" t="s">
        <v>257</v>
      </c>
      <c r="B420" s="42" t="s">
        <v>258</v>
      </c>
      <c r="C420" s="21"/>
      <c r="D420" s="43">
        <f>D421</f>
        <v>50</v>
      </c>
      <c r="E420" s="43">
        <f>E421</f>
        <v>0</v>
      </c>
      <c r="F420" s="43">
        <f>F421</f>
        <v>50</v>
      </c>
      <c r="G420" s="43">
        <f>G421</f>
        <v>0</v>
      </c>
      <c r="H420" s="43">
        <f>H421</f>
        <v>0</v>
      </c>
      <c r="I420" s="26"/>
      <c r="J420" s="26"/>
    </row>
    <row r="421" spans="1:10" ht="47.25">
      <c r="A421" s="45" t="s">
        <v>453</v>
      </c>
      <c r="B421" s="42" t="s">
        <v>258</v>
      </c>
      <c r="C421" s="21" t="s">
        <v>8</v>
      </c>
      <c r="D421" s="43">
        <f>'2020-2022 год Приложение  4'!E260</f>
        <v>50</v>
      </c>
      <c r="E421" s="43">
        <f>'2020-2022 год Приложение  4'!F260</f>
        <v>0</v>
      </c>
      <c r="F421" s="43">
        <f>'2020-2022 год Приложение  4'!G260</f>
        <v>50</v>
      </c>
      <c r="G421" s="43">
        <f>'2020-2022 год Приложение  4'!H260</f>
        <v>0</v>
      </c>
      <c r="H421" s="43">
        <f>'2020-2022 год Приложение  4'!I260</f>
        <v>0</v>
      </c>
      <c r="I421" s="26"/>
      <c r="J421" s="26"/>
    </row>
    <row r="422" spans="1:10" ht="31.5">
      <c r="A422" s="40" t="s">
        <v>247</v>
      </c>
      <c r="B422" s="42" t="s">
        <v>248</v>
      </c>
      <c r="C422" s="58"/>
      <c r="D422" s="43">
        <f>D423</f>
        <v>94.8</v>
      </c>
      <c r="E422" s="43">
        <f>E423</f>
        <v>0</v>
      </c>
      <c r="F422" s="43">
        <f>F423</f>
        <v>94.8</v>
      </c>
      <c r="G422" s="43">
        <f>G423</f>
        <v>101.3</v>
      </c>
      <c r="H422" s="43">
        <f>H423</f>
        <v>568.2</v>
      </c>
      <c r="I422" s="26"/>
      <c r="J422" s="26"/>
    </row>
    <row r="423" spans="1:10" ht="47.25">
      <c r="A423" s="45" t="s">
        <v>453</v>
      </c>
      <c r="B423" s="42" t="s">
        <v>248</v>
      </c>
      <c r="C423" s="21" t="s">
        <v>8</v>
      </c>
      <c r="D423" s="43">
        <f>'2020-2022 год Приложение  4'!E262</f>
        <v>94.8</v>
      </c>
      <c r="E423" s="43">
        <f>'2020-2022 год Приложение  4'!F262</f>
        <v>0</v>
      </c>
      <c r="F423" s="43">
        <f>'2020-2022 год Приложение  4'!G262</f>
        <v>94.8</v>
      </c>
      <c r="G423" s="43">
        <f>'2020-2022 год Приложение  4'!H262</f>
        <v>101.3</v>
      </c>
      <c r="H423" s="43">
        <f>'2020-2022 год Приложение  4'!I262</f>
        <v>568.2</v>
      </c>
      <c r="I423" s="26"/>
      <c r="J423" s="26"/>
    </row>
    <row r="424" spans="1:10" ht="15.75">
      <c r="A424" s="46" t="s">
        <v>333</v>
      </c>
      <c r="B424" s="42" t="s">
        <v>332</v>
      </c>
      <c r="C424" s="21"/>
      <c r="D424" s="43">
        <f>D425</f>
        <v>858.6</v>
      </c>
      <c r="E424" s="43">
        <f>E425</f>
        <v>0</v>
      </c>
      <c r="F424" s="43">
        <f>F425</f>
        <v>858.6</v>
      </c>
      <c r="G424" s="43">
        <f>G425</f>
        <v>0</v>
      </c>
      <c r="H424" s="43">
        <f>H425</f>
        <v>0</v>
      </c>
      <c r="I424" s="26"/>
      <c r="J424" s="26"/>
    </row>
    <row r="425" spans="1:10" ht="47.25">
      <c r="A425" s="45" t="s">
        <v>453</v>
      </c>
      <c r="B425" s="42" t="s">
        <v>332</v>
      </c>
      <c r="C425" s="21" t="s">
        <v>8</v>
      </c>
      <c r="D425" s="43">
        <f>'2020-2022 год Приложение  4'!E264</f>
        <v>858.6</v>
      </c>
      <c r="E425" s="43">
        <f>'2020-2022 год Приложение  4'!F264</f>
        <v>0</v>
      </c>
      <c r="F425" s="43">
        <f>'2020-2022 год Приложение  4'!G264</f>
        <v>858.6</v>
      </c>
      <c r="G425" s="43">
        <f>'2020-2022 год Приложение  4'!H264</f>
        <v>0</v>
      </c>
      <c r="H425" s="43">
        <f>'2020-2022 год Приложение  4'!I264</f>
        <v>0</v>
      </c>
      <c r="I425" s="26"/>
      <c r="J425" s="26"/>
    </row>
    <row r="426" spans="1:10" ht="63">
      <c r="A426" s="46" t="s">
        <v>190</v>
      </c>
      <c r="B426" s="42" t="s">
        <v>189</v>
      </c>
      <c r="C426" s="42"/>
      <c r="D426" s="43">
        <f>D427</f>
        <v>805.5</v>
      </c>
      <c r="E426" s="43">
        <f>E427</f>
        <v>0</v>
      </c>
      <c r="F426" s="43">
        <f>F427</f>
        <v>805.5</v>
      </c>
      <c r="G426" s="43">
        <f>G427</f>
        <v>805.5</v>
      </c>
      <c r="H426" s="43">
        <f>H427</f>
        <v>805.5</v>
      </c>
      <c r="I426" s="26"/>
      <c r="J426" s="26"/>
    </row>
    <row r="427" spans="1:10" ht="31.5">
      <c r="A427" s="46" t="s">
        <v>10</v>
      </c>
      <c r="B427" s="42" t="s">
        <v>189</v>
      </c>
      <c r="C427" s="42" t="s">
        <v>11</v>
      </c>
      <c r="D427" s="43">
        <f>'2020-2022 год Приложение  4'!E325</f>
        <v>805.5</v>
      </c>
      <c r="E427" s="43">
        <f>'2020-2022 год Приложение  4'!F325</f>
        <v>0</v>
      </c>
      <c r="F427" s="43">
        <f>'2020-2022 год Приложение  4'!G325</f>
        <v>805.5</v>
      </c>
      <c r="G427" s="43">
        <f>'2020-2022 год Приложение  4'!H325</f>
        <v>805.5</v>
      </c>
      <c r="H427" s="43">
        <f>'2020-2022 год Приложение  4'!I325</f>
        <v>805.5</v>
      </c>
      <c r="I427" s="26"/>
      <c r="J427" s="26"/>
    </row>
    <row r="428" spans="1:10" ht="47.25">
      <c r="A428" s="46" t="s">
        <v>231</v>
      </c>
      <c r="B428" s="42" t="s">
        <v>230</v>
      </c>
      <c r="C428" s="42"/>
      <c r="D428" s="43">
        <f>D429</f>
        <v>633.5</v>
      </c>
      <c r="E428" s="43">
        <f>E429</f>
        <v>0</v>
      </c>
      <c r="F428" s="43">
        <f>F429</f>
        <v>633.5</v>
      </c>
      <c r="G428" s="43">
        <f>G429</f>
        <v>0</v>
      </c>
      <c r="H428" s="43">
        <f>H429</f>
        <v>0</v>
      </c>
      <c r="I428" s="26"/>
      <c r="J428" s="26"/>
    </row>
    <row r="429" spans="1:11" ht="15.75">
      <c r="A429" s="46" t="s">
        <v>27</v>
      </c>
      <c r="B429" s="42" t="s">
        <v>230</v>
      </c>
      <c r="C429" s="42" t="s">
        <v>16</v>
      </c>
      <c r="D429" s="43">
        <f>'2020-2022 год Приложение  4'!E266</f>
        <v>633.5</v>
      </c>
      <c r="E429" s="43">
        <f>'2020-2022 год Приложение  4'!F266</f>
        <v>0</v>
      </c>
      <c r="F429" s="43">
        <f>'2020-2022 год Приложение  4'!G266</f>
        <v>633.5</v>
      </c>
      <c r="G429" s="43">
        <f>'2020-2022 год Приложение  4'!H266</f>
        <v>0</v>
      </c>
      <c r="H429" s="43">
        <f>'2020-2022 год Приложение  4'!I266</f>
        <v>0</v>
      </c>
      <c r="I429" s="26"/>
      <c r="J429" s="26"/>
      <c r="K429" s="26"/>
    </row>
    <row r="430" spans="1:10" ht="78.75">
      <c r="A430" s="66" t="s">
        <v>191</v>
      </c>
      <c r="B430" s="168" t="s">
        <v>98</v>
      </c>
      <c r="C430" s="169"/>
      <c r="D430" s="47">
        <f>D431</f>
        <v>1</v>
      </c>
      <c r="E430" s="47">
        <f>E431</f>
        <v>0</v>
      </c>
      <c r="F430" s="47">
        <f>F431</f>
        <v>1</v>
      </c>
      <c r="G430" s="47">
        <f>G431</f>
        <v>1</v>
      </c>
      <c r="H430" s="47">
        <f>H431</f>
        <v>1</v>
      </c>
      <c r="I430" s="26"/>
      <c r="J430" s="26"/>
    </row>
    <row r="431" spans="1:10" ht="47.25">
      <c r="A431" s="45" t="s">
        <v>453</v>
      </c>
      <c r="B431" s="168" t="s">
        <v>98</v>
      </c>
      <c r="C431" s="169">
        <v>200</v>
      </c>
      <c r="D431" s="43">
        <f>'2020-2022 год Приложение  4'!E466</f>
        <v>1</v>
      </c>
      <c r="E431" s="43">
        <f>'2020-2022 год Приложение  4'!F466</f>
        <v>0</v>
      </c>
      <c r="F431" s="43">
        <f>'2020-2022 год Приложение  4'!G466</f>
        <v>1</v>
      </c>
      <c r="G431" s="43">
        <f>'2020-2022 год Приложение  4'!H466</f>
        <v>1</v>
      </c>
      <c r="H431" s="43">
        <f>'2020-2022 год Приложение  4'!I466</f>
        <v>1</v>
      </c>
      <c r="I431" s="26"/>
      <c r="J431" s="26"/>
    </row>
    <row r="432" spans="1:10" ht="141.75">
      <c r="A432" s="66" t="s">
        <v>192</v>
      </c>
      <c r="B432" s="168" t="s">
        <v>99</v>
      </c>
      <c r="C432" s="169"/>
      <c r="D432" s="47">
        <f>D433</f>
        <v>3</v>
      </c>
      <c r="E432" s="47">
        <f>E433</f>
        <v>0</v>
      </c>
      <c r="F432" s="47">
        <f>F433</f>
        <v>3</v>
      </c>
      <c r="G432" s="47">
        <f>G433</f>
        <v>3</v>
      </c>
      <c r="H432" s="47">
        <f>H433</f>
        <v>3</v>
      </c>
      <c r="I432" s="26"/>
      <c r="J432" s="26"/>
    </row>
    <row r="433" spans="1:10" ht="47.25">
      <c r="A433" s="45" t="s">
        <v>453</v>
      </c>
      <c r="B433" s="168" t="s">
        <v>99</v>
      </c>
      <c r="C433" s="169">
        <v>200</v>
      </c>
      <c r="D433" s="43">
        <f>'2020-2022 год Приложение  4'!E468</f>
        <v>3</v>
      </c>
      <c r="E433" s="43">
        <f>'2020-2022 год Приложение  4'!F468</f>
        <v>0</v>
      </c>
      <c r="F433" s="43">
        <f>'2020-2022 год Приложение  4'!G468</f>
        <v>3</v>
      </c>
      <c r="G433" s="43">
        <f>'2020-2022 год Приложение  4'!H468</f>
        <v>3</v>
      </c>
      <c r="H433" s="43">
        <f>'2020-2022 год Приложение  4'!I468</f>
        <v>3</v>
      </c>
      <c r="I433" s="26"/>
      <c r="J433" s="26"/>
    </row>
    <row r="434" spans="1:10" ht="15.75">
      <c r="A434" s="22" t="s">
        <v>44</v>
      </c>
      <c r="B434" s="168" t="s">
        <v>100</v>
      </c>
      <c r="C434" s="48"/>
      <c r="D434" s="47">
        <f>D435</f>
        <v>1323.7</v>
      </c>
      <c r="E434" s="47">
        <f>E435</f>
        <v>0</v>
      </c>
      <c r="F434" s="47">
        <f>F435</f>
        <v>1323.7</v>
      </c>
      <c r="G434" s="47">
        <f>G435</f>
        <v>1301.5</v>
      </c>
      <c r="H434" s="47">
        <f>H435</f>
        <v>1276.3</v>
      </c>
      <c r="I434" s="26"/>
      <c r="J434" s="26"/>
    </row>
    <row r="435" spans="1:10" ht="15.75">
      <c r="A435" s="46" t="s">
        <v>42</v>
      </c>
      <c r="B435" s="168" t="s">
        <v>100</v>
      </c>
      <c r="C435" s="42" t="s">
        <v>43</v>
      </c>
      <c r="D435" s="43">
        <f>'2020-2022 год Приложение  4'!E470</f>
        <v>1323.7</v>
      </c>
      <c r="E435" s="43">
        <f>'2020-2022 год Приложение  4'!F470</f>
        <v>0</v>
      </c>
      <c r="F435" s="43">
        <f>'2020-2022 год Приложение  4'!G470</f>
        <v>1323.7</v>
      </c>
      <c r="G435" s="43">
        <f>'2020-2022 год Приложение  4'!H470</f>
        <v>1301.5</v>
      </c>
      <c r="H435" s="43">
        <f>'2020-2022 год Приложение  4'!I470</f>
        <v>1276.3</v>
      </c>
      <c r="I435" s="26"/>
      <c r="J435" s="26"/>
    </row>
    <row r="436" spans="1:12" ht="87.75" customHeight="1">
      <c r="A436" s="170" t="s">
        <v>250</v>
      </c>
      <c r="B436" s="168" t="s">
        <v>101</v>
      </c>
      <c r="C436" s="49"/>
      <c r="D436" s="47">
        <f>D437</f>
        <v>134.2</v>
      </c>
      <c r="E436" s="47">
        <f>E437</f>
        <v>0</v>
      </c>
      <c r="F436" s="47">
        <f>F437</f>
        <v>134.2</v>
      </c>
      <c r="G436" s="47">
        <f>G437</f>
        <v>137.3</v>
      </c>
      <c r="H436" s="47">
        <f>H437</f>
        <v>141.1</v>
      </c>
      <c r="I436" s="26"/>
      <c r="J436" s="26"/>
      <c r="L436" s="110"/>
    </row>
    <row r="437" spans="1:10" ht="15.75">
      <c r="A437" s="46" t="s">
        <v>42</v>
      </c>
      <c r="B437" s="168" t="s">
        <v>101</v>
      </c>
      <c r="C437" s="42" t="s">
        <v>43</v>
      </c>
      <c r="D437" s="43">
        <f>'2020-2022 год Приложение  4'!E472</f>
        <v>134.2</v>
      </c>
      <c r="E437" s="43">
        <f>'2020-2022 год Приложение  4'!F472</f>
        <v>0</v>
      </c>
      <c r="F437" s="43">
        <f>'2020-2022 год Приложение  4'!G472</f>
        <v>134.2</v>
      </c>
      <c r="G437" s="43">
        <f>'2020-2022 год Приложение  4'!H472</f>
        <v>137.3</v>
      </c>
      <c r="H437" s="43">
        <f>'2020-2022 год Приложение  4'!I472</f>
        <v>141.1</v>
      </c>
      <c r="I437" s="26"/>
      <c r="J437" s="26"/>
    </row>
    <row r="438" spans="1:10" ht="90">
      <c r="A438" s="50" t="s">
        <v>222</v>
      </c>
      <c r="B438" s="168" t="s">
        <v>102</v>
      </c>
      <c r="C438" s="49"/>
      <c r="D438" s="47">
        <f>D439</f>
        <v>7</v>
      </c>
      <c r="E438" s="47">
        <f>E439</f>
        <v>0</v>
      </c>
      <c r="F438" s="47">
        <f>F439</f>
        <v>7</v>
      </c>
      <c r="G438" s="47">
        <f>G439</f>
        <v>7</v>
      </c>
      <c r="H438" s="47">
        <f>H439</f>
        <v>7</v>
      </c>
      <c r="I438" s="26"/>
      <c r="J438" s="26"/>
    </row>
    <row r="439" spans="1:10" ht="47.25">
      <c r="A439" s="45" t="s">
        <v>453</v>
      </c>
      <c r="B439" s="168" t="s">
        <v>102</v>
      </c>
      <c r="C439" s="42" t="s">
        <v>8</v>
      </c>
      <c r="D439" s="43">
        <f>'2020-2022 год Приложение  4'!E474</f>
        <v>7</v>
      </c>
      <c r="E439" s="43">
        <f>'2020-2022 год Приложение  4'!F474</f>
        <v>0</v>
      </c>
      <c r="F439" s="43">
        <f>'2020-2022 год Приложение  4'!G474</f>
        <v>7</v>
      </c>
      <c r="G439" s="43">
        <f>'2020-2022 год Приложение  4'!H474</f>
        <v>7</v>
      </c>
      <c r="H439" s="43">
        <f>'2020-2022 год Приложение  4'!I474</f>
        <v>7</v>
      </c>
      <c r="I439" s="26"/>
      <c r="J439" s="26"/>
    </row>
    <row r="440" spans="1:10" ht="31.5">
      <c r="A440" s="22" t="s">
        <v>85</v>
      </c>
      <c r="B440" s="42" t="s">
        <v>97</v>
      </c>
      <c r="C440" s="42" t="s">
        <v>0</v>
      </c>
      <c r="D440" s="47">
        <f>D441</f>
        <v>17520.1</v>
      </c>
      <c r="E440" s="47">
        <f>E441</f>
        <v>0</v>
      </c>
      <c r="F440" s="47">
        <f>F441</f>
        <v>17520.1</v>
      </c>
      <c r="G440" s="47">
        <f>G441</f>
        <v>13432.6</v>
      </c>
      <c r="H440" s="47">
        <f>H441</f>
        <v>13350</v>
      </c>
      <c r="I440" s="26"/>
      <c r="J440" s="26"/>
    </row>
    <row r="441" spans="1:10" ht="15.75">
      <c r="A441" s="46" t="s">
        <v>42</v>
      </c>
      <c r="B441" s="42" t="s">
        <v>97</v>
      </c>
      <c r="C441" s="42" t="s">
        <v>43</v>
      </c>
      <c r="D441" s="43">
        <f>'2020-2022 год Приложение  4'!E476</f>
        <v>17520.1</v>
      </c>
      <c r="E441" s="43">
        <f>'2020-2022 год Приложение  4'!F476</f>
        <v>0</v>
      </c>
      <c r="F441" s="43">
        <f>'2020-2022 год Приложение  4'!G476</f>
        <v>17520.1</v>
      </c>
      <c r="G441" s="43">
        <f>'2020-2022 год Приложение  4'!H476</f>
        <v>13432.6</v>
      </c>
      <c r="H441" s="43">
        <f>'2020-2022 год Приложение  4'!I476</f>
        <v>13350</v>
      </c>
      <c r="I441" s="26"/>
      <c r="J441" s="26"/>
    </row>
    <row r="442" spans="1:10" ht="47.25">
      <c r="A442" s="46" t="s">
        <v>380</v>
      </c>
      <c r="B442" s="42" t="s">
        <v>326</v>
      </c>
      <c r="C442" s="42"/>
      <c r="D442" s="43">
        <f>D443</f>
        <v>1762.6</v>
      </c>
      <c r="E442" s="43">
        <f>E443</f>
        <v>0</v>
      </c>
      <c r="F442" s="43">
        <f>F443</f>
        <v>1762.6</v>
      </c>
      <c r="G442" s="43">
        <f>G443</f>
        <v>2065.6</v>
      </c>
      <c r="H442" s="43">
        <f>H443</f>
        <v>2148.2</v>
      </c>
      <c r="I442" s="26"/>
      <c r="J442" s="26"/>
    </row>
    <row r="443" spans="1:10" ht="15.75">
      <c r="A443" s="46" t="s">
        <v>42</v>
      </c>
      <c r="B443" s="42" t="s">
        <v>326</v>
      </c>
      <c r="C443" s="42" t="s">
        <v>43</v>
      </c>
      <c r="D443" s="43">
        <f>'2020-2022 год Приложение  4'!E478</f>
        <v>1762.6</v>
      </c>
      <c r="E443" s="43">
        <f>'2020-2022 год Приложение  4'!F478</f>
        <v>0</v>
      </c>
      <c r="F443" s="43">
        <f>'2020-2022 год Приложение  4'!G478</f>
        <v>1762.6</v>
      </c>
      <c r="G443" s="43">
        <f>'2020-2022 год Приложение  4'!H478</f>
        <v>2065.6</v>
      </c>
      <c r="H443" s="43">
        <f>'2020-2022 год Приложение  4'!I478</f>
        <v>2148.2</v>
      </c>
      <c r="I443" s="26"/>
      <c r="J443" s="26"/>
    </row>
    <row r="444" spans="1:10" ht="47.25">
      <c r="A444" s="46" t="s">
        <v>381</v>
      </c>
      <c r="B444" s="42" t="s">
        <v>327</v>
      </c>
      <c r="C444" s="42"/>
      <c r="D444" s="43">
        <f>D445</f>
        <v>2501.8</v>
      </c>
      <c r="E444" s="43">
        <f>E445</f>
        <v>0</v>
      </c>
      <c r="F444" s="43">
        <f>F445</f>
        <v>2501.8</v>
      </c>
      <c r="G444" s="43">
        <f>G445</f>
        <v>2501.8</v>
      </c>
      <c r="H444" s="43">
        <f>H445</f>
        <v>2501.8</v>
      </c>
      <c r="I444" s="26"/>
      <c r="J444" s="26"/>
    </row>
    <row r="445" spans="1:10" ht="15.75">
      <c r="A445" s="46" t="s">
        <v>42</v>
      </c>
      <c r="B445" s="42" t="s">
        <v>327</v>
      </c>
      <c r="C445" s="42" t="s">
        <v>43</v>
      </c>
      <c r="D445" s="43">
        <f>'2020-2022 год Приложение  4'!E480</f>
        <v>2501.8</v>
      </c>
      <c r="E445" s="43">
        <f>'2020-2022 год Приложение  4'!F480</f>
        <v>0</v>
      </c>
      <c r="F445" s="43">
        <f>'2020-2022 год Приложение  4'!G480</f>
        <v>2501.8</v>
      </c>
      <c r="G445" s="43">
        <f>'2020-2022 год Приложение  4'!H480</f>
        <v>2501.8</v>
      </c>
      <c r="H445" s="43">
        <f>'2020-2022 год Приложение  4'!I480</f>
        <v>2501.8</v>
      </c>
      <c r="I445" s="26"/>
      <c r="J445" s="26"/>
    </row>
    <row r="446" spans="1:10" ht="31.5">
      <c r="A446" s="46" t="s">
        <v>425</v>
      </c>
      <c r="B446" s="42" t="s">
        <v>424</v>
      </c>
      <c r="C446" s="42"/>
      <c r="D446" s="43">
        <f>D447</f>
        <v>855.2</v>
      </c>
      <c r="E446" s="43">
        <f>E447</f>
        <v>9700</v>
      </c>
      <c r="F446" s="43">
        <f>F447</f>
        <v>10555.2</v>
      </c>
      <c r="G446" s="43">
        <f>G447</f>
        <v>0</v>
      </c>
      <c r="H446" s="43">
        <f>H447</f>
        <v>0</v>
      </c>
      <c r="I446" s="26"/>
      <c r="J446" s="26"/>
    </row>
    <row r="447" spans="1:10" ht="15.75">
      <c r="A447" s="46" t="s">
        <v>42</v>
      </c>
      <c r="B447" s="42" t="s">
        <v>424</v>
      </c>
      <c r="C447" s="42" t="s">
        <v>43</v>
      </c>
      <c r="D447" s="43">
        <f>'2020-2022 год Приложение  4'!E482</f>
        <v>855.2</v>
      </c>
      <c r="E447" s="43">
        <f>'2020-2022 год Приложение  4'!F482</f>
        <v>9700</v>
      </c>
      <c r="F447" s="43">
        <f>'2020-2022 год Приложение  4'!G482</f>
        <v>10555.2</v>
      </c>
      <c r="G447" s="43">
        <f>'2020-2022 год Приложение  4'!H482</f>
        <v>0</v>
      </c>
      <c r="H447" s="43">
        <f>'2020-2022 год Приложение  4'!I482</f>
        <v>0</v>
      </c>
      <c r="I447" s="26"/>
      <c r="J447" s="26"/>
    </row>
    <row r="448" spans="1:10" ht="47.25">
      <c r="A448" s="67" t="s">
        <v>56</v>
      </c>
      <c r="B448" s="56" t="s">
        <v>107</v>
      </c>
      <c r="C448" s="56"/>
      <c r="D448" s="59">
        <f>D449</f>
        <v>450</v>
      </c>
      <c r="E448" s="59">
        <f>E449</f>
        <v>0</v>
      </c>
      <c r="F448" s="59">
        <f>F449</f>
        <v>450</v>
      </c>
      <c r="G448" s="59">
        <f>G449</f>
        <v>0</v>
      </c>
      <c r="H448" s="59">
        <f>H449</f>
        <v>0</v>
      </c>
      <c r="I448" s="26"/>
      <c r="J448" s="26"/>
    </row>
    <row r="449" spans="1:10" ht="15.75">
      <c r="A449" s="55" t="s">
        <v>9</v>
      </c>
      <c r="B449" s="56" t="s">
        <v>107</v>
      </c>
      <c r="C449" s="56">
        <v>800</v>
      </c>
      <c r="D449" s="43">
        <f>'2020-2022 год Приложение  4'!E268</f>
        <v>450</v>
      </c>
      <c r="E449" s="43">
        <f>'2020-2022 год Приложение  4'!F268</f>
        <v>0</v>
      </c>
      <c r="F449" s="43">
        <f>'2020-2022 год Приложение  4'!G268</f>
        <v>450</v>
      </c>
      <c r="G449" s="43">
        <f>'2020-2022 год Приложение  4'!H268</f>
        <v>0</v>
      </c>
      <c r="H449" s="43">
        <f>'2020-2022 год Приложение  4'!I268</f>
        <v>0</v>
      </c>
      <c r="I449" s="26"/>
      <c r="J449" s="26"/>
    </row>
    <row r="450" spans="1:10" ht="31.5">
      <c r="A450" s="100" t="s">
        <v>396</v>
      </c>
      <c r="B450" s="56" t="s">
        <v>395</v>
      </c>
      <c r="C450" s="56"/>
      <c r="D450" s="43">
        <f>D451</f>
        <v>20000</v>
      </c>
      <c r="E450" s="43">
        <f>E451</f>
        <v>0</v>
      </c>
      <c r="F450" s="43">
        <f>F451</f>
        <v>20000</v>
      </c>
      <c r="G450" s="43">
        <f>G451</f>
        <v>0</v>
      </c>
      <c r="H450" s="43">
        <f>H451</f>
        <v>0</v>
      </c>
      <c r="I450" s="26"/>
      <c r="J450" s="26"/>
    </row>
    <row r="451" spans="1:10" ht="15.75">
      <c r="A451" s="133" t="s">
        <v>9</v>
      </c>
      <c r="B451" s="56" t="s">
        <v>395</v>
      </c>
      <c r="C451" s="56">
        <v>800</v>
      </c>
      <c r="D451" s="43">
        <f>'2020-2022 год Приложение  4'!E484</f>
        <v>20000</v>
      </c>
      <c r="E451" s="43">
        <f>'2020-2022 год Приложение  4'!F484</f>
        <v>0</v>
      </c>
      <c r="F451" s="43">
        <f>D451+E451</f>
        <v>20000</v>
      </c>
      <c r="G451" s="43">
        <f>'2020-2022 год Приложение  4'!H484</f>
        <v>0</v>
      </c>
      <c r="H451" s="43">
        <f>'2020-2022 год Приложение  4'!I484</f>
        <v>0</v>
      </c>
      <c r="I451" s="26"/>
      <c r="J451" s="26"/>
    </row>
    <row r="452" spans="1:10" ht="21" customHeight="1">
      <c r="A452" s="106" t="s">
        <v>241</v>
      </c>
      <c r="B452" s="15" t="s">
        <v>242</v>
      </c>
      <c r="C452" s="107"/>
      <c r="D452" s="59">
        <f>'2020-2022 год Приложение  4'!E485</f>
        <v>0</v>
      </c>
      <c r="E452" s="59">
        <f>'2020-2022 год Приложение  4'!F485</f>
        <v>0</v>
      </c>
      <c r="F452" s="59">
        <f>'2020-2022 год Приложение  4'!G485</f>
        <v>0</v>
      </c>
      <c r="G452" s="59">
        <f>'2020-2022 год Приложение  4'!H485</f>
        <v>17457</v>
      </c>
      <c r="H452" s="59">
        <f>'2020-2022 год Приложение  4'!I485</f>
        <v>35777</v>
      </c>
      <c r="I452" s="26"/>
      <c r="J452" s="26"/>
    </row>
    <row r="455" spans="6:8" ht="12.75">
      <c r="F455" s="26"/>
      <c r="G455" s="26"/>
      <c r="H455" s="26"/>
    </row>
    <row r="456" spans="4:8" ht="12.75">
      <c r="D456" s="26">
        <f>D200+D224+D435+D437+D441+D443+D445+D417+D108+D447</f>
        <v>42508.8</v>
      </c>
      <c r="E456" s="26">
        <f>E200+E224+E435+E437+E441+E443+E445+E417+E108+E447</f>
        <v>9700</v>
      </c>
      <c r="F456" s="26">
        <f>F200+F224+F435+F437+F441+F443+F445+F417+F108+F447</f>
        <v>52208.8</v>
      </c>
      <c r="G456" s="26"/>
      <c r="H456" s="26"/>
    </row>
    <row r="458" spans="4:8" ht="21.75" customHeight="1">
      <c r="D458" s="26">
        <f>D257+D233+D227+D203+D154+D130+D113</f>
        <v>4303.6</v>
      </c>
      <c r="E458" s="26">
        <f>E257+E233+E227+E203+E154+E130+E113</f>
        <v>0</v>
      </c>
      <c r="F458" s="26"/>
      <c r="G458" s="26"/>
      <c r="H458" s="26"/>
    </row>
    <row r="460" spans="4:8" ht="9.75" customHeight="1">
      <c r="D460" s="26">
        <f>D126+D144+D146+D160+D429+D301+D370</f>
        <v>17562.5</v>
      </c>
      <c r="E460" s="26">
        <f>E126+E144+E146+E160+E429+E301+E370</f>
        <v>0</v>
      </c>
      <c r="F460" s="26"/>
      <c r="G460" s="26"/>
      <c r="H460" s="26"/>
    </row>
    <row r="462" spans="4:8" ht="21.75" customHeight="1">
      <c r="D462" s="26">
        <f>D161+D231+D255</f>
        <v>19080.9</v>
      </c>
      <c r="E462" s="26">
        <f>E161+E231+E255</f>
        <v>0</v>
      </c>
      <c r="F462" s="26"/>
      <c r="G462" s="26"/>
      <c r="H462" s="26"/>
    </row>
  </sheetData>
  <sheetProtection/>
  <autoFilter ref="A14:P452"/>
  <mergeCells count="15">
    <mergeCell ref="B6:H6"/>
    <mergeCell ref="B13:B14"/>
    <mergeCell ref="C13:C14"/>
    <mergeCell ref="F13:H13"/>
    <mergeCell ref="F7:H7"/>
    <mergeCell ref="F8:H8"/>
    <mergeCell ref="F9:H9"/>
    <mergeCell ref="A11:H11"/>
    <mergeCell ref="D13:D14"/>
    <mergeCell ref="E13:E14"/>
    <mergeCell ref="G1:H1"/>
    <mergeCell ref="F2:H2"/>
    <mergeCell ref="F3:H3"/>
    <mergeCell ref="F4:H4"/>
    <mergeCell ref="A13:A14"/>
  </mergeCells>
  <printOptions horizontalCentered="1"/>
  <pageMargins left="0.5905511811023623" right="0.1968503937007874" top="0.1968503937007874" bottom="0.1968503937007874" header="0" footer="0"/>
  <pageSetup fitToHeight="0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9"/>
  <sheetViews>
    <sheetView view="pageBreakPreview" zoomScale="95" zoomScaleNormal="95" zoomScaleSheetLayoutView="95" workbookViewId="0" topLeftCell="A1">
      <selection activeCell="G4" sqref="B3:I4"/>
    </sheetView>
  </sheetViews>
  <sheetFormatPr defaultColWidth="9.140625" defaultRowHeight="12.75"/>
  <cols>
    <col min="1" max="1" width="63.00390625" style="0" customWidth="1"/>
    <col min="2" max="2" width="6.140625" style="0" customWidth="1"/>
    <col min="3" max="3" width="16.57421875" style="0" customWidth="1"/>
    <col min="4" max="4" width="5.57421875" style="0" customWidth="1"/>
    <col min="5" max="5" width="13.8515625" style="0" customWidth="1"/>
    <col min="6" max="6" width="11.421875" style="0" customWidth="1"/>
    <col min="7" max="7" width="13.8515625" style="0" customWidth="1"/>
    <col min="8" max="8" width="14.8515625" style="0" customWidth="1"/>
    <col min="9" max="9" width="13.8515625" style="0" customWidth="1"/>
    <col min="10" max="10" width="17.7109375" style="0" customWidth="1"/>
    <col min="11" max="12" width="13.7109375" style="0" customWidth="1"/>
    <col min="13" max="13" width="11.421875" style="0" customWidth="1"/>
    <col min="14" max="14" width="12.140625" style="0" customWidth="1"/>
    <col min="15" max="17" width="9.140625" style="0" customWidth="1"/>
  </cols>
  <sheetData>
    <row r="1" spans="8:10" ht="15.75">
      <c r="H1" s="19"/>
      <c r="I1" s="128" t="s">
        <v>219</v>
      </c>
      <c r="J1" s="128"/>
    </row>
    <row r="2" spans="8:10" ht="12.75">
      <c r="H2" s="189" t="s">
        <v>238</v>
      </c>
      <c r="I2" s="189"/>
      <c r="J2" s="127"/>
    </row>
    <row r="3" spans="2:10" ht="12.75">
      <c r="B3" s="189" t="s">
        <v>244</v>
      </c>
      <c r="C3" s="189"/>
      <c r="D3" s="189"/>
      <c r="E3" s="189"/>
      <c r="F3" s="189"/>
      <c r="G3" s="189"/>
      <c r="H3" s="189"/>
      <c r="I3" s="189"/>
      <c r="J3" s="127"/>
    </row>
    <row r="4" spans="7:10" ht="12.75">
      <c r="G4" s="189" t="s">
        <v>456</v>
      </c>
      <c r="H4" s="189"/>
      <c r="I4" s="189"/>
      <c r="J4" s="127"/>
    </row>
    <row r="6" spans="2:9" s="19" customFormat="1" ht="15.75">
      <c r="B6" s="188" t="s">
        <v>236</v>
      </c>
      <c r="C6" s="188"/>
      <c r="D6" s="188"/>
      <c r="E6" s="188"/>
      <c r="F6" s="188"/>
      <c r="G6" s="188"/>
      <c r="H6" s="188"/>
      <c r="I6" s="188"/>
    </row>
    <row r="7" spans="2:9" s="19" customFormat="1" ht="12.75">
      <c r="B7" s="184" t="s">
        <v>238</v>
      </c>
      <c r="C7" s="184"/>
      <c r="D7" s="184"/>
      <c r="E7" s="184"/>
      <c r="F7" s="184"/>
      <c r="G7" s="184"/>
      <c r="H7" s="184"/>
      <c r="I7" s="184"/>
    </row>
    <row r="8" spans="2:9" s="19" customFormat="1" ht="12.75">
      <c r="B8" s="184" t="s">
        <v>244</v>
      </c>
      <c r="C8" s="184"/>
      <c r="D8" s="184"/>
      <c r="E8" s="184"/>
      <c r="F8" s="184"/>
      <c r="G8" s="184"/>
      <c r="H8" s="184"/>
      <c r="I8" s="184"/>
    </row>
    <row r="9" spans="2:9" s="19" customFormat="1" ht="12.75">
      <c r="B9" s="184" t="s">
        <v>386</v>
      </c>
      <c r="C9" s="184"/>
      <c r="D9" s="184"/>
      <c r="E9" s="184"/>
      <c r="F9" s="184"/>
      <c r="G9" s="184"/>
      <c r="H9" s="184"/>
      <c r="I9" s="184"/>
    </row>
    <row r="10" spans="1:10" ht="18.75">
      <c r="A10" s="3"/>
      <c r="B10" s="3"/>
      <c r="C10" s="4"/>
      <c r="D10" s="4"/>
      <c r="E10" s="4"/>
      <c r="F10" s="4"/>
      <c r="G10" s="4"/>
      <c r="H10" s="4"/>
      <c r="I10" s="4"/>
      <c r="J10" s="4"/>
    </row>
    <row r="11" spans="1:12" ht="53.25" customHeight="1">
      <c r="A11" s="194" t="s">
        <v>290</v>
      </c>
      <c r="B11" s="194"/>
      <c r="C11" s="194"/>
      <c r="D11" s="194"/>
      <c r="E11" s="194"/>
      <c r="F11" s="194"/>
      <c r="G11" s="194"/>
      <c r="H11" s="194"/>
      <c r="I11" s="194"/>
      <c r="K11" s="84"/>
      <c r="L11" s="84"/>
    </row>
    <row r="12" spans="1:8" ht="12.75">
      <c r="A12" s="1" t="s">
        <v>0</v>
      </c>
      <c r="B12" s="1"/>
      <c r="C12" s="1" t="s">
        <v>0</v>
      </c>
      <c r="D12" s="1" t="s">
        <v>0</v>
      </c>
      <c r="E12" s="1"/>
      <c r="F12" s="1"/>
      <c r="G12" s="1"/>
      <c r="H12" s="1"/>
    </row>
    <row r="13" spans="1:11" ht="15.75" customHeight="1">
      <c r="A13" s="186" t="s">
        <v>3</v>
      </c>
      <c r="B13" s="186" t="s">
        <v>70</v>
      </c>
      <c r="C13" s="186" t="s">
        <v>1</v>
      </c>
      <c r="D13" s="186" t="s">
        <v>2</v>
      </c>
      <c r="E13" s="186" t="s">
        <v>423</v>
      </c>
      <c r="F13" s="186" t="s">
        <v>389</v>
      </c>
      <c r="G13" s="192" t="s">
        <v>240</v>
      </c>
      <c r="H13" s="192"/>
      <c r="I13" s="192"/>
      <c r="K13" s="84"/>
    </row>
    <row r="14" spans="1:9" ht="40.5" customHeight="1">
      <c r="A14" s="193"/>
      <c r="B14" s="195"/>
      <c r="C14" s="187"/>
      <c r="D14" s="187"/>
      <c r="E14" s="187"/>
      <c r="F14" s="187"/>
      <c r="G14" s="105" t="s">
        <v>237</v>
      </c>
      <c r="H14" s="105" t="s">
        <v>239</v>
      </c>
      <c r="I14" s="105" t="s">
        <v>289</v>
      </c>
    </row>
    <row r="15" spans="1:10" ht="12.75">
      <c r="A15" s="68" t="s">
        <v>4</v>
      </c>
      <c r="B15" s="68">
        <v>2</v>
      </c>
      <c r="C15" s="68">
        <v>3</v>
      </c>
      <c r="D15" s="68">
        <v>4</v>
      </c>
      <c r="E15" s="68">
        <v>5</v>
      </c>
      <c r="F15" s="68">
        <v>6</v>
      </c>
      <c r="G15" s="68">
        <v>5</v>
      </c>
      <c r="H15" s="68">
        <v>6</v>
      </c>
      <c r="I15" s="68">
        <v>7</v>
      </c>
      <c r="J15" s="84"/>
    </row>
    <row r="16" spans="1:14" ht="15.75">
      <c r="A16" s="5" t="s">
        <v>7</v>
      </c>
      <c r="B16" s="5"/>
      <c r="C16" s="5" t="s">
        <v>0</v>
      </c>
      <c r="D16" s="5" t="s">
        <v>0</v>
      </c>
      <c r="E16" s="6">
        <f>E17+E29+E269+E326+E367+E448</f>
        <v>1996273.0999999999</v>
      </c>
      <c r="F16" s="6">
        <f>F17+F29+F269+F326+F367+F448</f>
        <v>92896.19999999998</v>
      </c>
      <c r="G16" s="6">
        <f>G17+G29+G269+G326+G367+G448</f>
        <v>2089169.3</v>
      </c>
      <c r="H16" s="6">
        <f>H17+H29+H269+H326+H367+H448</f>
        <v>1846998.0999999999</v>
      </c>
      <c r="I16" s="6">
        <f>I17+I29+I269+I326+I367+I448</f>
        <v>1908919.3999999994</v>
      </c>
      <c r="J16" s="84">
        <v>1996273.1</v>
      </c>
      <c r="K16" s="84">
        <f>G16-E16</f>
        <v>92896.20000000019</v>
      </c>
      <c r="L16" s="84">
        <f>E16+F16-G16</f>
        <v>0</v>
      </c>
      <c r="M16" s="84"/>
      <c r="N16" s="84"/>
    </row>
    <row r="17" spans="1:13" ht="15.75">
      <c r="A17" s="69" t="s">
        <v>86</v>
      </c>
      <c r="B17" s="33" t="s">
        <v>71</v>
      </c>
      <c r="C17" s="30"/>
      <c r="D17" s="30"/>
      <c r="E17" s="31">
        <f>E18</f>
        <v>4474</v>
      </c>
      <c r="F17" s="30"/>
      <c r="G17" s="31">
        <f>G18</f>
        <v>4474</v>
      </c>
      <c r="H17" s="31">
        <f>H18</f>
        <v>4206.700000000001</v>
      </c>
      <c r="I17" s="31">
        <f>I18</f>
        <v>4269</v>
      </c>
      <c r="J17" s="84"/>
      <c r="K17" s="84">
        <f aca="true" t="shared" si="0" ref="K17:K81">G17-E17</f>
        <v>0</v>
      </c>
      <c r="L17" s="84">
        <f aca="true" t="shared" si="1" ref="L17:L80">E17+F17-G17</f>
        <v>0</v>
      </c>
      <c r="M17" s="84"/>
    </row>
    <row r="18" spans="1:13" ht="15.75">
      <c r="A18" s="70" t="s">
        <v>30</v>
      </c>
      <c r="B18" s="71" t="s">
        <v>71</v>
      </c>
      <c r="C18" s="72" t="s">
        <v>96</v>
      </c>
      <c r="D18" s="72" t="s">
        <v>0</v>
      </c>
      <c r="E18" s="73">
        <f>E19+E21+E25</f>
        <v>4474</v>
      </c>
      <c r="F18" s="72"/>
      <c r="G18" s="73">
        <f>G19+G21+G25</f>
        <v>4474</v>
      </c>
      <c r="H18" s="73">
        <f>H19+H21+H25</f>
        <v>4206.700000000001</v>
      </c>
      <c r="I18" s="73">
        <f>I19+I21+I25</f>
        <v>4269</v>
      </c>
      <c r="J18" s="84"/>
      <c r="K18" s="84">
        <f t="shared" si="0"/>
        <v>0</v>
      </c>
      <c r="L18" s="84">
        <f t="shared" si="1"/>
        <v>0</v>
      </c>
      <c r="M18" s="84"/>
    </row>
    <row r="19" spans="1:13" ht="31.5">
      <c r="A19" s="23" t="s">
        <v>72</v>
      </c>
      <c r="B19" s="21" t="s">
        <v>71</v>
      </c>
      <c r="C19" s="42" t="s">
        <v>105</v>
      </c>
      <c r="D19" s="21"/>
      <c r="E19" s="43">
        <f>E20</f>
        <v>1367.8</v>
      </c>
      <c r="F19" s="21"/>
      <c r="G19" s="43">
        <f>G20</f>
        <v>1367.8</v>
      </c>
      <c r="H19" s="43">
        <f>H20</f>
        <v>1335</v>
      </c>
      <c r="I19" s="43">
        <f>I20</f>
        <v>1367.8</v>
      </c>
      <c r="J19" s="84"/>
      <c r="K19" s="84">
        <f t="shared" si="0"/>
        <v>0</v>
      </c>
      <c r="L19" s="84">
        <f t="shared" si="1"/>
        <v>0</v>
      </c>
      <c r="M19" s="84"/>
    </row>
    <row r="20" spans="1:13" ht="63">
      <c r="A20" s="52" t="s">
        <v>14</v>
      </c>
      <c r="B20" s="21" t="s">
        <v>71</v>
      </c>
      <c r="C20" s="42" t="s">
        <v>105</v>
      </c>
      <c r="D20" s="21" t="s">
        <v>15</v>
      </c>
      <c r="E20" s="43">
        <v>1367.8</v>
      </c>
      <c r="F20" s="21"/>
      <c r="G20" s="43">
        <f>E20+F20</f>
        <v>1367.8</v>
      </c>
      <c r="H20" s="43">
        <v>1335</v>
      </c>
      <c r="I20" s="43">
        <v>1367.8</v>
      </c>
      <c r="J20" s="84"/>
      <c r="K20" s="84">
        <f t="shared" si="0"/>
        <v>0</v>
      </c>
      <c r="L20" s="84">
        <f t="shared" si="1"/>
        <v>0</v>
      </c>
      <c r="M20" s="84"/>
    </row>
    <row r="21" spans="1:13" ht="31.5">
      <c r="A21" s="52" t="s">
        <v>31</v>
      </c>
      <c r="B21" s="21" t="s">
        <v>71</v>
      </c>
      <c r="C21" s="42" t="s">
        <v>106</v>
      </c>
      <c r="D21" s="42" t="s">
        <v>0</v>
      </c>
      <c r="E21" s="43">
        <f>E23+E24+E22</f>
        <v>327.2</v>
      </c>
      <c r="F21" s="43">
        <f>F23+F24+F22</f>
        <v>0</v>
      </c>
      <c r="G21" s="43">
        <f>G23+G24+G22</f>
        <v>327.2</v>
      </c>
      <c r="H21" s="43">
        <f>H23+H24+H22</f>
        <v>304.3</v>
      </c>
      <c r="I21" s="43">
        <f>I23+I24+I22</f>
        <v>312.2</v>
      </c>
      <c r="J21" s="84"/>
      <c r="K21" s="84">
        <f t="shared" si="0"/>
        <v>0</v>
      </c>
      <c r="L21" s="84">
        <f t="shared" si="1"/>
        <v>0</v>
      </c>
      <c r="M21" s="84"/>
    </row>
    <row r="22" spans="1:13" ht="63">
      <c r="A22" s="52" t="s">
        <v>14</v>
      </c>
      <c r="B22" s="21" t="s">
        <v>71</v>
      </c>
      <c r="C22" s="42" t="s">
        <v>106</v>
      </c>
      <c r="D22" s="42" t="s">
        <v>15</v>
      </c>
      <c r="E22" s="43">
        <v>0</v>
      </c>
      <c r="F22" s="87" t="s">
        <v>464</v>
      </c>
      <c r="G22" s="43">
        <f>E22+F22</f>
        <v>1.5</v>
      </c>
      <c r="H22" s="43">
        <v>0</v>
      </c>
      <c r="I22" s="43">
        <v>0</v>
      </c>
      <c r="J22" s="84"/>
      <c r="K22" s="84"/>
      <c r="L22" s="84">
        <f t="shared" si="1"/>
        <v>0</v>
      </c>
      <c r="M22" s="84"/>
    </row>
    <row r="23" spans="1:13" ht="47.25" customHeight="1">
      <c r="A23" s="45" t="s">
        <v>453</v>
      </c>
      <c r="B23" s="21" t="s">
        <v>71</v>
      </c>
      <c r="C23" s="42" t="s">
        <v>106</v>
      </c>
      <c r="D23" s="42" t="s">
        <v>8</v>
      </c>
      <c r="E23" s="43">
        <v>324</v>
      </c>
      <c r="F23" s="87" t="s">
        <v>463</v>
      </c>
      <c r="G23" s="43">
        <f>E23+F23</f>
        <v>322.5</v>
      </c>
      <c r="H23" s="43">
        <v>301</v>
      </c>
      <c r="I23" s="43">
        <v>309</v>
      </c>
      <c r="J23" s="84"/>
      <c r="K23" s="84">
        <f t="shared" si="0"/>
        <v>-1.5</v>
      </c>
      <c r="L23" s="84">
        <f t="shared" si="1"/>
        <v>0</v>
      </c>
      <c r="M23" s="84"/>
    </row>
    <row r="24" spans="1:13" ht="15.75">
      <c r="A24" s="45" t="s">
        <v>9</v>
      </c>
      <c r="B24" s="21" t="s">
        <v>71</v>
      </c>
      <c r="C24" s="42" t="s">
        <v>106</v>
      </c>
      <c r="D24" s="42" t="s">
        <v>12</v>
      </c>
      <c r="E24" s="43">
        <v>3.2</v>
      </c>
      <c r="F24" s="42"/>
      <c r="G24" s="43">
        <f>E24+F24</f>
        <v>3.2</v>
      </c>
      <c r="H24" s="43">
        <v>3.3</v>
      </c>
      <c r="I24" s="43">
        <v>3.2</v>
      </c>
      <c r="J24" s="84"/>
      <c r="K24" s="84">
        <f t="shared" si="0"/>
        <v>0</v>
      </c>
      <c r="L24" s="84">
        <f t="shared" si="1"/>
        <v>0</v>
      </c>
      <c r="M24" s="84"/>
    </row>
    <row r="25" spans="1:13" ht="31.5">
      <c r="A25" s="52" t="s">
        <v>32</v>
      </c>
      <c r="B25" s="21" t="s">
        <v>71</v>
      </c>
      <c r="C25" s="42" t="s">
        <v>104</v>
      </c>
      <c r="D25" s="42" t="s">
        <v>0</v>
      </c>
      <c r="E25" s="43">
        <f>E26+E27+E28</f>
        <v>2779.0000000000005</v>
      </c>
      <c r="F25" s="42"/>
      <c r="G25" s="43">
        <f>G26+G27+G28</f>
        <v>2779.0000000000005</v>
      </c>
      <c r="H25" s="43">
        <f>H26+H27+H28</f>
        <v>2567.4000000000005</v>
      </c>
      <c r="I25" s="43">
        <f>I26+I27+I28</f>
        <v>2589</v>
      </c>
      <c r="J25" s="84"/>
      <c r="K25" s="84">
        <f t="shared" si="0"/>
        <v>0</v>
      </c>
      <c r="L25" s="84">
        <f t="shared" si="1"/>
        <v>0</v>
      </c>
      <c r="M25" s="84"/>
    </row>
    <row r="26" spans="1:13" ht="63">
      <c r="A26" s="52" t="s">
        <v>14</v>
      </c>
      <c r="B26" s="21" t="s">
        <v>71</v>
      </c>
      <c r="C26" s="42" t="s">
        <v>104</v>
      </c>
      <c r="D26" s="42" t="s">
        <v>15</v>
      </c>
      <c r="E26" s="43">
        <v>2482.8</v>
      </c>
      <c r="F26" s="42"/>
      <c r="G26" s="43">
        <f>E26+F26</f>
        <v>2482.8</v>
      </c>
      <c r="H26" s="43">
        <v>2452.8</v>
      </c>
      <c r="I26" s="43">
        <v>2469.5</v>
      </c>
      <c r="J26" s="84"/>
      <c r="K26" s="84">
        <f t="shared" si="0"/>
        <v>0</v>
      </c>
      <c r="L26" s="84">
        <f t="shared" si="1"/>
        <v>0</v>
      </c>
      <c r="M26" s="84"/>
    </row>
    <row r="27" spans="1:13" ht="47.25">
      <c r="A27" s="45" t="s">
        <v>453</v>
      </c>
      <c r="B27" s="21" t="s">
        <v>71</v>
      </c>
      <c r="C27" s="42" t="s">
        <v>104</v>
      </c>
      <c r="D27" s="21" t="s">
        <v>8</v>
      </c>
      <c r="E27" s="43">
        <v>294.4</v>
      </c>
      <c r="F27" s="21"/>
      <c r="G27" s="43">
        <f>E27+F27</f>
        <v>294.4</v>
      </c>
      <c r="H27" s="43">
        <v>112.8</v>
      </c>
      <c r="I27" s="43">
        <v>117.7</v>
      </c>
      <c r="J27" s="84"/>
      <c r="K27" s="84">
        <f t="shared" si="0"/>
        <v>0</v>
      </c>
      <c r="L27" s="84">
        <f t="shared" si="1"/>
        <v>0</v>
      </c>
      <c r="M27" s="84"/>
    </row>
    <row r="28" spans="1:13" ht="15.75">
      <c r="A28" s="45" t="s">
        <v>9</v>
      </c>
      <c r="B28" s="21" t="s">
        <v>71</v>
      </c>
      <c r="C28" s="42" t="s">
        <v>104</v>
      </c>
      <c r="D28" s="21" t="s">
        <v>12</v>
      </c>
      <c r="E28" s="43">
        <v>1.8</v>
      </c>
      <c r="F28" s="21"/>
      <c r="G28" s="43">
        <f>E28+F28</f>
        <v>1.8</v>
      </c>
      <c r="H28" s="43">
        <v>1.8</v>
      </c>
      <c r="I28" s="43">
        <v>1.8</v>
      </c>
      <c r="J28" s="84"/>
      <c r="K28" s="84">
        <f t="shared" si="0"/>
        <v>0</v>
      </c>
      <c r="L28" s="84">
        <f t="shared" si="1"/>
        <v>0</v>
      </c>
      <c r="M28" s="84"/>
    </row>
    <row r="29" spans="1:13" ht="15.75">
      <c r="A29" s="32" t="s">
        <v>87</v>
      </c>
      <c r="B29" s="33" t="s">
        <v>73</v>
      </c>
      <c r="C29" s="74"/>
      <c r="D29" s="75"/>
      <c r="E29" s="34">
        <f>E30+E45+E52+E119+E144+E196+E217+E237+E106</f>
        <v>382775.10000000003</v>
      </c>
      <c r="F29" s="34">
        <f>F30+F45+F52+F119+F144+F196+F217+F237+F106</f>
        <v>45071.2</v>
      </c>
      <c r="G29" s="34">
        <f>G30+G45+G52+G119+G144+G196+G217+G237+G106</f>
        <v>427846.30000000005</v>
      </c>
      <c r="H29" s="34">
        <f>H30+H45+H52+H119+H144+H196+H217+H237+H106</f>
        <v>320787.19999999995</v>
      </c>
      <c r="I29" s="34">
        <f>I30+I45+I52+I119+I144+I196+I217+I237+I106</f>
        <v>319564.7</v>
      </c>
      <c r="J29" s="84"/>
      <c r="K29" s="84">
        <f t="shared" si="0"/>
        <v>45071.20000000001</v>
      </c>
      <c r="L29" s="84">
        <f t="shared" si="1"/>
        <v>0</v>
      </c>
      <c r="M29" s="84"/>
    </row>
    <row r="30" spans="1:13" ht="15.75">
      <c r="A30" s="76" t="s">
        <v>291</v>
      </c>
      <c r="B30" s="72" t="s">
        <v>73</v>
      </c>
      <c r="C30" s="71" t="s">
        <v>94</v>
      </c>
      <c r="D30" s="71" t="s">
        <v>0</v>
      </c>
      <c r="E30" s="77">
        <f>E34+E31</f>
        <v>1621.8</v>
      </c>
      <c r="F30" s="77">
        <f>F34+F31</f>
        <v>0</v>
      </c>
      <c r="G30" s="77">
        <f>G34+G31</f>
        <v>1621.8</v>
      </c>
      <c r="H30" s="77">
        <f>H34+H31</f>
        <v>1049.3</v>
      </c>
      <c r="I30" s="77">
        <f>I34+I31</f>
        <v>1049.3</v>
      </c>
      <c r="J30" s="84"/>
      <c r="K30" s="84">
        <f t="shared" si="0"/>
        <v>0</v>
      </c>
      <c r="L30" s="84">
        <f t="shared" si="1"/>
        <v>0</v>
      </c>
      <c r="M30" s="84"/>
    </row>
    <row r="31" spans="1:13" ht="42.75" customHeight="1">
      <c r="A31" s="13" t="s">
        <v>292</v>
      </c>
      <c r="B31" s="78" t="s">
        <v>73</v>
      </c>
      <c r="C31" s="11" t="s">
        <v>207</v>
      </c>
      <c r="D31" s="11" t="s">
        <v>0</v>
      </c>
      <c r="E31" s="12">
        <f aca="true" t="shared" si="2" ref="E31:I32">E32</f>
        <v>100</v>
      </c>
      <c r="F31" s="12">
        <f t="shared" si="2"/>
        <v>0</v>
      </c>
      <c r="G31" s="12">
        <f t="shared" si="2"/>
        <v>100</v>
      </c>
      <c r="H31" s="12">
        <f t="shared" si="2"/>
        <v>100</v>
      </c>
      <c r="I31" s="12">
        <f>I32</f>
        <v>100</v>
      </c>
      <c r="J31" s="84"/>
      <c r="K31" s="84">
        <f t="shared" si="0"/>
        <v>0</v>
      </c>
      <c r="L31" s="84">
        <f t="shared" si="1"/>
        <v>0</v>
      </c>
      <c r="M31" s="84"/>
    </row>
    <row r="32" spans="1:13" ht="31.5">
      <c r="A32" s="45" t="s">
        <v>218</v>
      </c>
      <c r="B32" s="27" t="s">
        <v>73</v>
      </c>
      <c r="C32" s="15" t="s">
        <v>216</v>
      </c>
      <c r="D32" s="42"/>
      <c r="E32" s="87">
        <f t="shared" si="2"/>
        <v>100</v>
      </c>
      <c r="F32" s="87">
        <f t="shared" si="2"/>
        <v>0</v>
      </c>
      <c r="G32" s="87">
        <f t="shared" si="2"/>
        <v>100</v>
      </c>
      <c r="H32" s="87">
        <f t="shared" si="2"/>
        <v>100</v>
      </c>
      <c r="I32" s="87">
        <f t="shared" si="2"/>
        <v>100</v>
      </c>
      <c r="J32" s="84"/>
      <c r="K32" s="84">
        <f t="shared" si="0"/>
        <v>0</v>
      </c>
      <c r="L32" s="84">
        <f t="shared" si="1"/>
        <v>0</v>
      </c>
      <c r="M32" s="84"/>
    </row>
    <row r="33" spans="1:13" ht="47.25">
      <c r="A33" s="45" t="s">
        <v>453</v>
      </c>
      <c r="B33" s="27" t="s">
        <v>73</v>
      </c>
      <c r="C33" s="15" t="s">
        <v>216</v>
      </c>
      <c r="D33" s="42" t="s">
        <v>8</v>
      </c>
      <c r="E33" s="43">
        <v>100</v>
      </c>
      <c r="F33" s="42"/>
      <c r="G33" s="43">
        <f>E33+F33</f>
        <v>100</v>
      </c>
      <c r="H33" s="43">
        <v>100</v>
      </c>
      <c r="I33" s="43">
        <v>100</v>
      </c>
      <c r="J33" s="84"/>
      <c r="K33" s="84">
        <f t="shared" si="0"/>
        <v>0</v>
      </c>
      <c r="L33" s="84">
        <f t="shared" si="1"/>
        <v>0</v>
      </c>
      <c r="M33" s="84"/>
    </row>
    <row r="34" spans="1:13" ht="15.75">
      <c r="A34" s="13" t="s">
        <v>293</v>
      </c>
      <c r="B34" s="78" t="s">
        <v>73</v>
      </c>
      <c r="C34" s="11" t="s">
        <v>95</v>
      </c>
      <c r="D34" s="11" t="s">
        <v>0</v>
      </c>
      <c r="E34" s="12">
        <f>E37+E35+E39+E43+E41</f>
        <v>1521.8</v>
      </c>
      <c r="F34" s="12">
        <f>F37+F35+F39+F43+F41</f>
        <v>0</v>
      </c>
      <c r="G34" s="12">
        <f>G37+G35+G39+G43+G41</f>
        <v>1521.8</v>
      </c>
      <c r="H34" s="12">
        <f>H37+H35+H39+H43+H41</f>
        <v>949.3</v>
      </c>
      <c r="I34" s="12">
        <f>I37+I35+I39+I43+I41</f>
        <v>949.3</v>
      </c>
      <c r="J34" s="84"/>
      <c r="K34" s="84">
        <f t="shared" si="0"/>
        <v>0</v>
      </c>
      <c r="L34" s="84">
        <f t="shared" si="1"/>
        <v>0</v>
      </c>
      <c r="M34" s="84"/>
    </row>
    <row r="35" spans="1:13" ht="31.5">
      <c r="A35" s="45" t="s">
        <v>209</v>
      </c>
      <c r="B35" s="27" t="s">
        <v>73</v>
      </c>
      <c r="C35" s="15" t="s">
        <v>208</v>
      </c>
      <c r="D35" s="42"/>
      <c r="E35" s="87">
        <f>E36</f>
        <v>120</v>
      </c>
      <c r="F35" s="87">
        <f>F36</f>
        <v>0</v>
      </c>
      <c r="G35" s="87">
        <f>G36</f>
        <v>120</v>
      </c>
      <c r="H35" s="87">
        <f>H36</f>
        <v>120</v>
      </c>
      <c r="I35" s="87">
        <f>I36</f>
        <v>120</v>
      </c>
      <c r="J35" s="84"/>
      <c r="K35" s="84">
        <f t="shared" si="0"/>
        <v>0</v>
      </c>
      <c r="L35" s="84">
        <f t="shared" si="1"/>
        <v>0</v>
      </c>
      <c r="M35" s="84"/>
    </row>
    <row r="36" spans="1:13" ht="47.25">
      <c r="A36" s="45" t="s">
        <v>453</v>
      </c>
      <c r="B36" s="27" t="s">
        <v>73</v>
      </c>
      <c r="C36" s="15" t="s">
        <v>208</v>
      </c>
      <c r="D36" s="42" t="s">
        <v>8</v>
      </c>
      <c r="E36" s="43">
        <v>120</v>
      </c>
      <c r="F36" s="42"/>
      <c r="G36" s="43">
        <f>E36+F36</f>
        <v>120</v>
      </c>
      <c r="H36" s="43">
        <v>120</v>
      </c>
      <c r="I36" s="43">
        <v>120</v>
      </c>
      <c r="J36" s="84"/>
      <c r="K36" s="84">
        <f t="shared" si="0"/>
        <v>0</v>
      </c>
      <c r="L36" s="84">
        <f t="shared" si="1"/>
        <v>0</v>
      </c>
      <c r="M36" s="84"/>
    </row>
    <row r="37" spans="1:13" ht="45" customHeight="1">
      <c r="A37" s="45" t="s">
        <v>210</v>
      </c>
      <c r="B37" s="27" t="s">
        <v>73</v>
      </c>
      <c r="C37" s="15" t="s">
        <v>217</v>
      </c>
      <c r="D37" s="42"/>
      <c r="E37" s="88">
        <f>E38</f>
        <v>139.3</v>
      </c>
      <c r="F37" s="88">
        <f>F38</f>
        <v>0</v>
      </c>
      <c r="G37" s="88">
        <f>G38</f>
        <v>139.3</v>
      </c>
      <c r="H37" s="88">
        <f>H38</f>
        <v>139.3</v>
      </c>
      <c r="I37" s="88">
        <f>I38</f>
        <v>139.3</v>
      </c>
      <c r="J37" s="84"/>
      <c r="K37" s="84">
        <f t="shared" si="0"/>
        <v>0</v>
      </c>
      <c r="L37" s="84">
        <f t="shared" si="1"/>
        <v>0</v>
      </c>
      <c r="M37" s="84"/>
    </row>
    <row r="38" spans="1:13" ht="47.25">
      <c r="A38" s="45" t="s">
        <v>453</v>
      </c>
      <c r="B38" s="27" t="s">
        <v>73</v>
      </c>
      <c r="C38" s="15" t="s">
        <v>217</v>
      </c>
      <c r="D38" s="42" t="s">
        <v>8</v>
      </c>
      <c r="E38" s="43">
        <v>139.3</v>
      </c>
      <c r="F38" s="42"/>
      <c r="G38" s="43">
        <f>E38+F38</f>
        <v>139.3</v>
      </c>
      <c r="H38" s="43">
        <v>139.3</v>
      </c>
      <c r="I38" s="43">
        <v>139.3</v>
      </c>
      <c r="J38" s="84"/>
      <c r="K38" s="84">
        <f t="shared" si="0"/>
        <v>0</v>
      </c>
      <c r="L38" s="84">
        <f t="shared" si="1"/>
        <v>0</v>
      </c>
      <c r="M38" s="84"/>
    </row>
    <row r="39" spans="1:13" ht="31.5">
      <c r="A39" s="45" t="s">
        <v>235</v>
      </c>
      <c r="B39" s="27" t="s">
        <v>73</v>
      </c>
      <c r="C39" s="15" t="s">
        <v>234</v>
      </c>
      <c r="D39" s="42"/>
      <c r="E39" s="43">
        <f>E40</f>
        <v>690</v>
      </c>
      <c r="F39" s="43">
        <f>F40</f>
        <v>0</v>
      </c>
      <c r="G39" s="43">
        <f>G40</f>
        <v>690</v>
      </c>
      <c r="H39" s="43">
        <f>H40</f>
        <v>690</v>
      </c>
      <c r="I39" s="43">
        <f>I40</f>
        <v>690</v>
      </c>
      <c r="J39" s="84"/>
      <c r="K39" s="84">
        <f t="shared" si="0"/>
        <v>0</v>
      </c>
      <c r="L39" s="84">
        <f t="shared" si="1"/>
        <v>0</v>
      </c>
      <c r="M39" s="84"/>
    </row>
    <row r="40" spans="1:13" ht="15.75">
      <c r="A40" s="45" t="s">
        <v>9</v>
      </c>
      <c r="B40" s="27" t="s">
        <v>73</v>
      </c>
      <c r="C40" s="15" t="s">
        <v>234</v>
      </c>
      <c r="D40" s="42" t="s">
        <v>12</v>
      </c>
      <c r="E40" s="43">
        <v>690</v>
      </c>
      <c r="F40" s="42"/>
      <c r="G40" s="43">
        <f>E40+F40</f>
        <v>690</v>
      </c>
      <c r="H40" s="43">
        <v>690</v>
      </c>
      <c r="I40" s="43">
        <v>690</v>
      </c>
      <c r="J40" s="84"/>
      <c r="K40" s="84">
        <f t="shared" si="0"/>
        <v>0</v>
      </c>
      <c r="L40" s="84">
        <f t="shared" si="1"/>
        <v>0</v>
      </c>
      <c r="M40" s="84"/>
    </row>
    <row r="41" spans="1:13" ht="47.25">
      <c r="A41" s="45" t="s">
        <v>331</v>
      </c>
      <c r="B41" s="27" t="s">
        <v>73</v>
      </c>
      <c r="C41" s="15" t="s">
        <v>446</v>
      </c>
      <c r="D41" s="42"/>
      <c r="E41" s="43">
        <f>E42</f>
        <v>0.5</v>
      </c>
      <c r="F41" s="43">
        <f>F42</f>
        <v>0</v>
      </c>
      <c r="G41" s="43">
        <f>G42</f>
        <v>0.5</v>
      </c>
      <c r="H41" s="43">
        <f>H42</f>
        <v>0</v>
      </c>
      <c r="I41" s="43">
        <f>I42</f>
        <v>0</v>
      </c>
      <c r="J41" s="84"/>
      <c r="K41" s="84">
        <f t="shared" si="0"/>
        <v>0</v>
      </c>
      <c r="L41" s="84">
        <f t="shared" si="1"/>
        <v>0</v>
      </c>
      <c r="M41" s="84"/>
    </row>
    <row r="42" spans="1:13" ht="15.75">
      <c r="A42" s="45" t="s">
        <v>9</v>
      </c>
      <c r="B42" s="27" t="s">
        <v>73</v>
      </c>
      <c r="C42" s="15" t="s">
        <v>446</v>
      </c>
      <c r="D42" s="42" t="s">
        <v>12</v>
      </c>
      <c r="E42" s="43">
        <v>0.5</v>
      </c>
      <c r="F42" s="43"/>
      <c r="G42" s="43">
        <f>E42+F42</f>
        <v>0.5</v>
      </c>
      <c r="H42" s="43">
        <v>0</v>
      </c>
      <c r="I42" s="43">
        <v>0</v>
      </c>
      <c r="J42" s="84"/>
      <c r="K42" s="84">
        <f t="shared" si="0"/>
        <v>0</v>
      </c>
      <c r="L42" s="84">
        <f t="shared" si="1"/>
        <v>0</v>
      </c>
      <c r="M42" s="84"/>
    </row>
    <row r="43" spans="1:13" ht="63">
      <c r="A43" s="45" t="s">
        <v>440</v>
      </c>
      <c r="B43" s="27" t="s">
        <v>73</v>
      </c>
      <c r="C43" s="15" t="s">
        <v>441</v>
      </c>
      <c r="D43" s="42"/>
      <c r="E43" s="43">
        <f>E44</f>
        <v>572</v>
      </c>
      <c r="F43" s="47">
        <f>F44</f>
        <v>0</v>
      </c>
      <c r="G43" s="43">
        <f>G44</f>
        <v>572</v>
      </c>
      <c r="H43" s="43">
        <f>H44</f>
        <v>0</v>
      </c>
      <c r="I43" s="43">
        <f>I44</f>
        <v>0</v>
      </c>
      <c r="J43" s="84"/>
      <c r="K43" s="84">
        <f t="shared" si="0"/>
        <v>0</v>
      </c>
      <c r="L43" s="84">
        <f t="shared" si="1"/>
        <v>0</v>
      </c>
      <c r="M43" s="84"/>
    </row>
    <row r="44" spans="1:13" ht="15.75">
      <c r="A44" s="45" t="s">
        <v>9</v>
      </c>
      <c r="B44" s="27" t="s">
        <v>73</v>
      </c>
      <c r="C44" s="15" t="s">
        <v>441</v>
      </c>
      <c r="D44" s="42" t="s">
        <v>12</v>
      </c>
      <c r="E44" s="43">
        <v>572</v>
      </c>
      <c r="F44" s="47"/>
      <c r="G44" s="43">
        <f>E44+F44</f>
        <v>572</v>
      </c>
      <c r="H44" s="43">
        <v>0</v>
      </c>
      <c r="I44" s="43">
        <v>0</v>
      </c>
      <c r="J44" s="84"/>
      <c r="K44" s="84">
        <f t="shared" si="0"/>
        <v>0</v>
      </c>
      <c r="L44" s="84">
        <f t="shared" si="1"/>
        <v>0</v>
      </c>
      <c r="M44" s="84"/>
    </row>
    <row r="45" spans="1:13" ht="32.25" customHeight="1">
      <c r="A45" s="76" t="s">
        <v>294</v>
      </c>
      <c r="B45" s="72" t="s">
        <v>73</v>
      </c>
      <c r="C45" s="71" t="s">
        <v>145</v>
      </c>
      <c r="D45" s="71" t="s">
        <v>0</v>
      </c>
      <c r="E45" s="77">
        <f>E46+E49</f>
        <v>1088.5</v>
      </c>
      <c r="F45" s="77">
        <f>F46+F49</f>
        <v>0</v>
      </c>
      <c r="G45" s="77">
        <f>G46+G49</f>
        <v>1088.5</v>
      </c>
      <c r="H45" s="77">
        <f>H46+H49</f>
        <v>120</v>
      </c>
      <c r="I45" s="77">
        <f>I46+I49</f>
        <v>120</v>
      </c>
      <c r="J45" s="84"/>
      <c r="K45" s="84">
        <f t="shared" si="0"/>
        <v>0</v>
      </c>
      <c r="L45" s="84">
        <f t="shared" si="1"/>
        <v>0</v>
      </c>
      <c r="M45" s="84"/>
    </row>
    <row r="46" spans="1:13" ht="15.75">
      <c r="A46" s="10" t="s">
        <v>295</v>
      </c>
      <c r="B46" s="78" t="s">
        <v>73</v>
      </c>
      <c r="C46" s="11" t="s">
        <v>146</v>
      </c>
      <c r="D46" s="11" t="s">
        <v>0</v>
      </c>
      <c r="E46" s="12">
        <f aca="true" t="shared" si="3" ref="E46:I47">E47</f>
        <v>120</v>
      </c>
      <c r="F46" s="12">
        <f t="shared" si="3"/>
        <v>0</v>
      </c>
      <c r="G46" s="12">
        <f t="shared" si="3"/>
        <v>120</v>
      </c>
      <c r="H46" s="12">
        <f t="shared" si="3"/>
        <v>120</v>
      </c>
      <c r="I46" s="12">
        <f>I47</f>
        <v>120</v>
      </c>
      <c r="J46" s="84"/>
      <c r="K46" s="84">
        <f t="shared" si="0"/>
        <v>0</v>
      </c>
      <c r="L46" s="84">
        <f t="shared" si="1"/>
        <v>0</v>
      </c>
      <c r="M46" s="84"/>
    </row>
    <row r="47" spans="1:13" ht="15.75">
      <c r="A47" s="14" t="s">
        <v>23</v>
      </c>
      <c r="B47" s="27" t="s">
        <v>73</v>
      </c>
      <c r="C47" s="7" t="s">
        <v>329</v>
      </c>
      <c r="D47" s="7"/>
      <c r="E47" s="8">
        <f t="shared" si="3"/>
        <v>120</v>
      </c>
      <c r="F47" s="8">
        <f t="shared" si="3"/>
        <v>0</v>
      </c>
      <c r="G47" s="8">
        <f t="shared" si="3"/>
        <v>120</v>
      </c>
      <c r="H47" s="8">
        <f t="shared" si="3"/>
        <v>120</v>
      </c>
      <c r="I47" s="8">
        <f t="shared" si="3"/>
        <v>120</v>
      </c>
      <c r="J47" s="84"/>
      <c r="K47" s="84">
        <f t="shared" si="0"/>
        <v>0</v>
      </c>
      <c r="L47" s="84">
        <f t="shared" si="1"/>
        <v>0</v>
      </c>
      <c r="M47" s="84"/>
    </row>
    <row r="48" spans="1:13" ht="47.25">
      <c r="A48" s="45" t="s">
        <v>453</v>
      </c>
      <c r="B48" s="42" t="s">
        <v>73</v>
      </c>
      <c r="C48" s="7" t="s">
        <v>329</v>
      </c>
      <c r="D48" s="42" t="s">
        <v>8</v>
      </c>
      <c r="E48" s="43">
        <v>120</v>
      </c>
      <c r="F48" s="42"/>
      <c r="G48" s="43">
        <v>120</v>
      </c>
      <c r="H48" s="43">
        <v>120</v>
      </c>
      <c r="I48" s="43">
        <v>120</v>
      </c>
      <c r="J48" s="84"/>
      <c r="K48" s="84">
        <f t="shared" si="0"/>
        <v>0</v>
      </c>
      <c r="L48" s="84">
        <f t="shared" si="1"/>
        <v>0</v>
      </c>
      <c r="M48" s="84"/>
    </row>
    <row r="49" spans="1:13" ht="31.5">
      <c r="A49" s="10" t="s">
        <v>296</v>
      </c>
      <c r="B49" s="78" t="s">
        <v>73</v>
      </c>
      <c r="C49" s="11" t="s">
        <v>286</v>
      </c>
      <c r="D49" s="11"/>
      <c r="E49" s="12">
        <f aca="true" t="shared" si="4" ref="E49:I50">E50</f>
        <v>968.5</v>
      </c>
      <c r="F49" s="12">
        <f>F50</f>
        <v>0</v>
      </c>
      <c r="G49" s="12">
        <f t="shared" si="4"/>
        <v>968.5</v>
      </c>
      <c r="H49" s="12">
        <f t="shared" si="4"/>
        <v>0</v>
      </c>
      <c r="I49" s="12">
        <f t="shared" si="4"/>
        <v>0</v>
      </c>
      <c r="J49" s="84"/>
      <c r="K49" s="84">
        <f t="shared" si="0"/>
        <v>0</v>
      </c>
      <c r="L49" s="84">
        <f t="shared" si="1"/>
        <v>0</v>
      </c>
      <c r="M49" s="84"/>
    </row>
    <row r="50" spans="1:13" ht="31.5">
      <c r="A50" s="14" t="s">
        <v>287</v>
      </c>
      <c r="B50" s="27" t="s">
        <v>73</v>
      </c>
      <c r="C50" s="7" t="s">
        <v>330</v>
      </c>
      <c r="D50" s="7"/>
      <c r="E50" s="43">
        <f t="shared" si="4"/>
        <v>968.5</v>
      </c>
      <c r="F50" s="43">
        <f t="shared" si="4"/>
        <v>0</v>
      </c>
      <c r="G50" s="43">
        <f t="shared" si="4"/>
        <v>968.5</v>
      </c>
      <c r="H50" s="43">
        <f t="shared" si="4"/>
        <v>0</v>
      </c>
      <c r="I50" s="43">
        <f t="shared" si="4"/>
        <v>0</v>
      </c>
      <c r="J50" s="84"/>
      <c r="K50" s="84">
        <f t="shared" si="0"/>
        <v>0</v>
      </c>
      <c r="L50" s="84">
        <f t="shared" si="1"/>
        <v>0</v>
      </c>
      <c r="M50" s="84"/>
    </row>
    <row r="51" spans="1:13" ht="47.25">
      <c r="A51" s="45" t="s">
        <v>453</v>
      </c>
      <c r="B51" s="42" t="s">
        <v>73</v>
      </c>
      <c r="C51" s="7" t="s">
        <v>330</v>
      </c>
      <c r="D51" s="42" t="s">
        <v>8</v>
      </c>
      <c r="E51" s="43">
        <v>968.5</v>
      </c>
      <c r="F51" s="43"/>
      <c r="G51" s="43">
        <f>E51+F51</f>
        <v>968.5</v>
      </c>
      <c r="H51" s="43">
        <v>0</v>
      </c>
      <c r="I51" s="43">
        <v>0</v>
      </c>
      <c r="J51" s="84"/>
      <c r="K51" s="84">
        <f t="shared" si="0"/>
        <v>0</v>
      </c>
      <c r="L51" s="84">
        <f t="shared" si="1"/>
        <v>0</v>
      </c>
      <c r="M51" s="84"/>
    </row>
    <row r="52" spans="1:13" ht="31.5">
      <c r="A52" s="76" t="s">
        <v>297</v>
      </c>
      <c r="B52" s="72" t="s">
        <v>73</v>
      </c>
      <c r="C52" s="71" t="s">
        <v>173</v>
      </c>
      <c r="D52" s="71" t="s">
        <v>0</v>
      </c>
      <c r="E52" s="77">
        <f>E53+E62+E94+E77+E99</f>
        <v>126190.90000000001</v>
      </c>
      <c r="F52" s="77">
        <f>F53+F62+F94+F77+F99</f>
        <v>42121.2</v>
      </c>
      <c r="G52" s="77">
        <f>G53+G62+G94+G77+G99</f>
        <v>168312.10000000003</v>
      </c>
      <c r="H52" s="77">
        <f>H53+H62+H94+H77+H99</f>
        <v>93217.3</v>
      </c>
      <c r="I52" s="77">
        <f>I53+I62+I94+I77+I99</f>
        <v>94160.5</v>
      </c>
      <c r="J52" s="84"/>
      <c r="K52" s="84">
        <f t="shared" si="0"/>
        <v>42121.200000000026</v>
      </c>
      <c r="L52" s="84">
        <f t="shared" si="1"/>
        <v>0</v>
      </c>
      <c r="M52" s="84"/>
    </row>
    <row r="53" spans="1:13" ht="31.5">
      <c r="A53" s="10" t="s">
        <v>298</v>
      </c>
      <c r="B53" s="78" t="s">
        <v>73</v>
      </c>
      <c r="C53" s="11" t="s">
        <v>174</v>
      </c>
      <c r="D53" s="11" t="s">
        <v>0</v>
      </c>
      <c r="E53" s="12">
        <f>E54+E58+E60+E56</f>
        <v>37785.5</v>
      </c>
      <c r="F53" s="12">
        <f>F54+F58+F60+F56</f>
        <v>-3089.5</v>
      </c>
      <c r="G53" s="12">
        <f>G54+G58+G60+G56</f>
        <v>34696</v>
      </c>
      <c r="H53" s="12">
        <f>H54+H58+H60+H56</f>
        <v>19860.2</v>
      </c>
      <c r="I53" s="12">
        <f>I54+I58+I60+I56</f>
        <v>22804</v>
      </c>
      <c r="J53" s="84"/>
      <c r="K53" s="84">
        <f t="shared" si="0"/>
        <v>-3089.5</v>
      </c>
      <c r="L53" s="84">
        <f t="shared" si="1"/>
        <v>0</v>
      </c>
      <c r="M53" s="84"/>
    </row>
    <row r="54" spans="1:13" ht="31.5">
      <c r="A54" s="14" t="s">
        <v>228</v>
      </c>
      <c r="B54" s="27" t="s">
        <v>73</v>
      </c>
      <c r="C54" s="42" t="s">
        <v>339</v>
      </c>
      <c r="D54" s="7"/>
      <c r="E54" s="8">
        <f>E55</f>
        <v>8232.8</v>
      </c>
      <c r="F54" s="8">
        <f>F55</f>
        <v>410.5</v>
      </c>
      <c r="G54" s="8">
        <f>G55</f>
        <v>8643.3</v>
      </c>
      <c r="H54" s="8">
        <f>H55</f>
        <v>3000</v>
      </c>
      <c r="I54" s="8">
        <f>I55</f>
        <v>7000</v>
      </c>
      <c r="J54" s="84"/>
      <c r="K54" s="84">
        <f t="shared" si="0"/>
        <v>410.5</v>
      </c>
      <c r="L54" s="84">
        <f t="shared" si="1"/>
        <v>0</v>
      </c>
      <c r="M54" s="84"/>
    </row>
    <row r="55" spans="1:13" ht="47.25">
      <c r="A55" s="45" t="s">
        <v>453</v>
      </c>
      <c r="B55" s="42" t="s">
        <v>73</v>
      </c>
      <c r="C55" s="42" t="s">
        <v>339</v>
      </c>
      <c r="D55" s="42" t="s">
        <v>8</v>
      </c>
      <c r="E55" s="36">
        <v>8232.8</v>
      </c>
      <c r="F55" s="36">
        <f>210.5+200</f>
        <v>410.5</v>
      </c>
      <c r="G55" s="43">
        <f>E55+F55</f>
        <v>8643.3</v>
      </c>
      <c r="H55" s="43">
        <f>7565.5-4565.5</f>
        <v>3000</v>
      </c>
      <c r="I55" s="43">
        <f>2000+5000</f>
        <v>7000</v>
      </c>
      <c r="J55" s="84"/>
      <c r="K55" s="84">
        <f t="shared" si="0"/>
        <v>410.5</v>
      </c>
      <c r="L55" s="84">
        <f t="shared" si="1"/>
        <v>0</v>
      </c>
      <c r="M55" s="84"/>
    </row>
    <row r="56" spans="1:13" ht="47.25">
      <c r="A56" s="14" t="s">
        <v>340</v>
      </c>
      <c r="B56" s="42" t="s">
        <v>73</v>
      </c>
      <c r="C56" s="42" t="s">
        <v>341</v>
      </c>
      <c r="D56" s="42"/>
      <c r="E56" s="43">
        <f>E57</f>
        <v>94</v>
      </c>
      <c r="F56" s="43">
        <f>F57</f>
        <v>0</v>
      </c>
      <c r="G56" s="43">
        <f>G57</f>
        <v>94</v>
      </c>
      <c r="H56" s="43">
        <f>H57</f>
        <v>0</v>
      </c>
      <c r="I56" s="43">
        <f>I57</f>
        <v>0</v>
      </c>
      <c r="J56" s="84"/>
      <c r="K56" s="84">
        <f t="shared" si="0"/>
        <v>0</v>
      </c>
      <c r="L56" s="84">
        <f t="shared" si="1"/>
        <v>0</v>
      </c>
      <c r="M56" s="84"/>
    </row>
    <row r="57" spans="1:13" ht="47.25">
      <c r="A57" s="45" t="s">
        <v>453</v>
      </c>
      <c r="B57" s="42" t="s">
        <v>73</v>
      </c>
      <c r="C57" s="42" t="s">
        <v>341</v>
      </c>
      <c r="D57" s="42" t="s">
        <v>8</v>
      </c>
      <c r="E57" s="43">
        <v>94</v>
      </c>
      <c r="F57" s="42"/>
      <c r="G57" s="43">
        <v>94</v>
      </c>
      <c r="H57" s="43">
        <v>0</v>
      </c>
      <c r="I57" s="43">
        <v>0</v>
      </c>
      <c r="J57" s="84"/>
      <c r="K57" s="84">
        <f t="shared" si="0"/>
        <v>0</v>
      </c>
      <c r="L57" s="84">
        <f t="shared" si="1"/>
        <v>0</v>
      </c>
      <c r="M57" s="84"/>
    </row>
    <row r="58" spans="1:13" ht="31.5">
      <c r="A58" s="18" t="s">
        <v>45</v>
      </c>
      <c r="B58" s="42" t="s">
        <v>73</v>
      </c>
      <c r="C58" s="42" t="s">
        <v>342</v>
      </c>
      <c r="D58" s="9"/>
      <c r="E58" s="8">
        <f>E59</f>
        <v>22633.7</v>
      </c>
      <c r="F58" s="8">
        <f>F59</f>
        <v>-3500</v>
      </c>
      <c r="G58" s="8">
        <f>G59</f>
        <v>19133.7</v>
      </c>
      <c r="H58" s="8">
        <f>H59</f>
        <v>10035.2</v>
      </c>
      <c r="I58" s="8">
        <f>I59</f>
        <v>8979</v>
      </c>
      <c r="J58" s="84"/>
      <c r="K58" s="84">
        <f t="shared" si="0"/>
        <v>-3500</v>
      </c>
      <c r="L58" s="84">
        <f t="shared" si="1"/>
        <v>0</v>
      </c>
      <c r="M58" s="84"/>
    </row>
    <row r="59" spans="1:13" ht="47.25">
      <c r="A59" s="45" t="s">
        <v>453</v>
      </c>
      <c r="B59" s="42" t="s">
        <v>73</v>
      </c>
      <c r="C59" s="42" t="s">
        <v>342</v>
      </c>
      <c r="D59" s="42" t="s">
        <v>8</v>
      </c>
      <c r="E59" s="43">
        <v>22633.7</v>
      </c>
      <c r="F59" s="36">
        <v>-3500</v>
      </c>
      <c r="G59" s="43">
        <f>E59+F59</f>
        <v>19133.7</v>
      </c>
      <c r="H59" s="43">
        <v>10035.2</v>
      </c>
      <c r="I59" s="43">
        <f>8979</f>
        <v>8979</v>
      </c>
      <c r="J59" s="84"/>
      <c r="K59" s="84">
        <f t="shared" si="0"/>
        <v>-3500</v>
      </c>
      <c r="L59" s="84">
        <f t="shared" si="1"/>
        <v>0</v>
      </c>
      <c r="M59" s="84"/>
    </row>
    <row r="60" spans="1:13" ht="47.25">
      <c r="A60" s="40" t="s">
        <v>65</v>
      </c>
      <c r="B60" s="42" t="s">
        <v>73</v>
      </c>
      <c r="C60" s="27" t="s">
        <v>343</v>
      </c>
      <c r="D60" s="57"/>
      <c r="E60" s="20">
        <f>E61</f>
        <v>6825</v>
      </c>
      <c r="F60" s="20">
        <f>F61</f>
        <v>0</v>
      </c>
      <c r="G60" s="20">
        <f>G61</f>
        <v>6825</v>
      </c>
      <c r="H60" s="20">
        <f>H61</f>
        <v>6825</v>
      </c>
      <c r="I60" s="20">
        <f>I61</f>
        <v>6825</v>
      </c>
      <c r="J60" s="84"/>
      <c r="K60" s="84">
        <f t="shared" si="0"/>
        <v>0</v>
      </c>
      <c r="L60" s="84">
        <f t="shared" si="1"/>
        <v>0</v>
      </c>
      <c r="M60" s="84"/>
    </row>
    <row r="61" spans="1:13" ht="15.75">
      <c r="A61" s="45" t="s">
        <v>9</v>
      </c>
      <c r="B61" s="42" t="s">
        <v>73</v>
      </c>
      <c r="C61" s="27" t="s">
        <v>343</v>
      </c>
      <c r="D61" s="42" t="s">
        <v>12</v>
      </c>
      <c r="E61" s="43">
        <v>6825</v>
      </c>
      <c r="F61" s="42"/>
      <c r="G61" s="43">
        <v>6825</v>
      </c>
      <c r="H61" s="43">
        <v>6825</v>
      </c>
      <c r="I61" s="43">
        <v>6825</v>
      </c>
      <c r="J61" s="84"/>
      <c r="K61" s="84">
        <f t="shared" si="0"/>
        <v>0</v>
      </c>
      <c r="L61" s="84">
        <f t="shared" si="1"/>
        <v>0</v>
      </c>
      <c r="M61" s="84"/>
    </row>
    <row r="62" spans="1:13" ht="68.25" customHeight="1">
      <c r="A62" s="10" t="s">
        <v>373</v>
      </c>
      <c r="B62" s="78" t="s">
        <v>73</v>
      </c>
      <c r="C62" s="11" t="s">
        <v>175</v>
      </c>
      <c r="D62" s="11" t="s">
        <v>0</v>
      </c>
      <c r="E62" s="12">
        <f>E73+E75+E69+E65+E63+E67+E71</f>
        <v>44695.6</v>
      </c>
      <c r="F62" s="12">
        <f>F73+F75+F69+F65+F63+F67+F71</f>
        <v>48110.7</v>
      </c>
      <c r="G62" s="12">
        <f>G73+G75+G69+G65+G63+G67+G71</f>
        <v>92806.30000000002</v>
      </c>
      <c r="H62" s="12">
        <f>H73+H75+H69+H65+H63+H67+H71</f>
        <v>34821.200000000004</v>
      </c>
      <c r="I62" s="12">
        <f>I73+I75+I69+I65+I63+I67+I71</f>
        <v>32392.5</v>
      </c>
      <c r="J62" s="84"/>
      <c r="K62" s="84">
        <f t="shared" si="0"/>
        <v>48110.70000000002</v>
      </c>
      <c r="L62" s="84">
        <f t="shared" si="1"/>
        <v>0</v>
      </c>
      <c r="M62" s="84"/>
    </row>
    <row r="63" spans="1:13" ht="31.5">
      <c r="A63" s="22" t="s">
        <v>347</v>
      </c>
      <c r="B63" s="42" t="s">
        <v>73</v>
      </c>
      <c r="C63" s="27" t="s">
        <v>348</v>
      </c>
      <c r="D63" s="42"/>
      <c r="E63" s="43">
        <f>E64</f>
        <v>100</v>
      </c>
      <c r="F63" s="43">
        <f>F64</f>
        <v>0</v>
      </c>
      <c r="G63" s="43">
        <f>G64</f>
        <v>100</v>
      </c>
      <c r="H63" s="43">
        <f>H64</f>
        <v>100</v>
      </c>
      <c r="I63" s="43">
        <f>I64</f>
        <v>100</v>
      </c>
      <c r="J63" s="84"/>
      <c r="K63" s="84">
        <f t="shared" si="0"/>
        <v>0</v>
      </c>
      <c r="L63" s="84">
        <f t="shared" si="1"/>
        <v>0</v>
      </c>
      <c r="M63" s="84"/>
    </row>
    <row r="64" spans="1:13" ht="47.25">
      <c r="A64" s="45" t="s">
        <v>453</v>
      </c>
      <c r="B64" s="42" t="s">
        <v>73</v>
      </c>
      <c r="C64" s="27" t="s">
        <v>348</v>
      </c>
      <c r="D64" s="42" t="s">
        <v>8</v>
      </c>
      <c r="E64" s="43">
        <v>100</v>
      </c>
      <c r="F64" s="43"/>
      <c r="G64" s="43">
        <v>100</v>
      </c>
      <c r="H64" s="43">
        <v>100</v>
      </c>
      <c r="I64" s="43">
        <v>100</v>
      </c>
      <c r="J64" s="84"/>
      <c r="K64" s="84">
        <f t="shared" si="0"/>
        <v>0</v>
      </c>
      <c r="L64" s="84">
        <f t="shared" si="1"/>
        <v>0</v>
      </c>
      <c r="M64" s="84"/>
    </row>
    <row r="65" spans="1:13" ht="47.25">
      <c r="A65" s="22" t="s">
        <v>246</v>
      </c>
      <c r="B65" s="42" t="s">
        <v>73</v>
      </c>
      <c r="C65" s="27" t="s">
        <v>344</v>
      </c>
      <c r="D65" s="42"/>
      <c r="E65" s="43">
        <f>E66</f>
        <v>157.1</v>
      </c>
      <c r="F65" s="43">
        <f>F66</f>
        <v>0</v>
      </c>
      <c r="G65" s="43">
        <f>G66</f>
        <v>157.1</v>
      </c>
      <c r="H65" s="43">
        <f>H66</f>
        <v>1151.3999999999996</v>
      </c>
      <c r="I65" s="43">
        <f>I66</f>
        <v>0</v>
      </c>
      <c r="J65" s="84"/>
      <c r="K65" s="84">
        <f t="shared" si="0"/>
        <v>0</v>
      </c>
      <c r="L65" s="84">
        <f t="shared" si="1"/>
        <v>0</v>
      </c>
      <c r="M65" s="84"/>
    </row>
    <row r="66" spans="1:13" ht="47.25">
      <c r="A66" s="45" t="s">
        <v>453</v>
      </c>
      <c r="B66" s="42" t="s">
        <v>73</v>
      </c>
      <c r="C66" s="27" t="s">
        <v>344</v>
      </c>
      <c r="D66" s="42" t="s">
        <v>8</v>
      </c>
      <c r="E66" s="43">
        <v>157.1</v>
      </c>
      <c r="F66" s="161"/>
      <c r="G66" s="43">
        <f>E66+F66</f>
        <v>157.1</v>
      </c>
      <c r="H66" s="43">
        <f>10840.9+570.6-10260.1</f>
        <v>1151.3999999999996</v>
      </c>
      <c r="I66" s="43">
        <v>0</v>
      </c>
      <c r="J66" s="84"/>
      <c r="K66" s="84">
        <f t="shared" si="0"/>
        <v>0</v>
      </c>
      <c r="L66" s="84">
        <f t="shared" si="1"/>
        <v>0</v>
      </c>
      <c r="M66" s="84"/>
    </row>
    <row r="67" spans="1:13" ht="31.5">
      <c r="A67" s="22" t="s">
        <v>345</v>
      </c>
      <c r="B67" s="42" t="s">
        <v>73</v>
      </c>
      <c r="C67" s="27" t="s">
        <v>346</v>
      </c>
      <c r="D67" s="42"/>
      <c r="E67" s="43">
        <f>E68</f>
        <v>92.1</v>
      </c>
      <c r="F67" s="43">
        <f>F68</f>
        <v>0</v>
      </c>
      <c r="G67" s="43">
        <f>G68</f>
        <v>92.1</v>
      </c>
      <c r="H67" s="43">
        <f>H68</f>
        <v>100</v>
      </c>
      <c r="I67" s="43">
        <f>I68</f>
        <v>100</v>
      </c>
      <c r="J67" s="84"/>
      <c r="K67" s="84">
        <f t="shared" si="0"/>
        <v>0</v>
      </c>
      <c r="L67" s="84">
        <f t="shared" si="1"/>
        <v>0</v>
      </c>
      <c r="M67" s="84"/>
    </row>
    <row r="68" spans="1:13" ht="47.25">
      <c r="A68" s="45" t="s">
        <v>453</v>
      </c>
      <c r="B68" s="42" t="s">
        <v>73</v>
      </c>
      <c r="C68" s="27" t="s">
        <v>346</v>
      </c>
      <c r="D68" s="42" t="s">
        <v>8</v>
      </c>
      <c r="E68" s="43">
        <v>92.1</v>
      </c>
      <c r="F68" s="161"/>
      <c r="G68" s="43">
        <f>E68+F68</f>
        <v>92.1</v>
      </c>
      <c r="H68" s="43">
        <v>100</v>
      </c>
      <c r="I68" s="43">
        <v>100</v>
      </c>
      <c r="J68" s="84"/>
      <c r="K68" s="84">
        <f t="shared" si="0"/>
        <v>0</v>
      </c>
      <c r="L68" s="84">
        <f t="shared" si="1"/>
        <v>0</v>
      </c>
      <c r="M68" s="84"/>
    </row>
    <row r="69" spans="1:13" ht="78.75" customHeight="1">
      <c r="A69" s="51" t="s">
        <v>335</v>
      </c>
      <c r="B69" s="42" t="s">
        <v>73</v>
      </c>
      <c r="C69" s="21" t="s">
        <v>374</v>
      </c>
      <c r="D69" s="21"/>
      <c r="E69" s="43">
        <f>E70</f>
        <v>30033.4</v>
      </c>
      <c r="F69" s="47">
        <f>F70</f>
        <v>48110.7</v>
      </c>
      <c r="G69" s="43">
        <f>G70</f>
        <v>78144.1</v>
      </c>
      <c r="H69" s="43">
        <f>H70</f>
        <v>31579</v>
      </c>
      <c r="I69" s="43">
        <f>I70</f>
        <v>31579</v>
      </c>
      <c r="J69" s="84"/>
      <c r="K69" s="84">
        <f t="shared" si="0"/>
        <v>48110.700000000004</v>
      </c>
      <c r="L69" s="84">
        <f t="shared" si="1"/>
        <v>0</v>
      </c>
      <c r="M69" s="84"/>
    </row>
    <row r="70" spans="1:13" ht="31.5">
      <c r="A70" s="100" t="s">
        <v>29</v>
      </c>
      <c r="B70" s="42" t="s">
        <v>73</v>
      </c>
      <c r="C70" s="21" t="s">
        <v>374</v>
      </c>
      <c r="D70" s="21" t="s">
        <v>24</v>
      </c>
      <c r="E70" s="43">
        <f>28531.7+1501.7</f>
        <v>30033.4</v>
      </c>
      <c r="F70" s="163">
        <v>48110.7</v>
      </c>
      <c r="G70" s="43">
        <f>F70+E70</f>
        <v>78144.1</v>
      </c>
      <c r="H70" s="20">
        <f>30000+1579</f>
        <v>31579</v>
      </c>
      <c r="I70" s="20">
        <f>30000+1579</f>
        <v>31579</v>
      </c>
      <c r="J70" s="84"/>
      <c r="K70" s="84">
        <f t="shared" si="0"/>
        <v>48110.700000000004</v>
      </c>
      <c r="L70" s="84">
        <f t="shared" si="1"/>
        <v>0</v>
      </c>
      <c r="M70" s="84"/>
    </row>
    <row r="71" spans="1:13" ht="31.5">
      <c r="A71" s="100" t="s">
        <v>276</v>
      </c>
      <c r="B71" s="27" t="s">
        <v>73</v>
      </c>
      <c r="C71" s="35" t="s">
        <v>430</v>
      </c>
      <c r="D71" s="35"/>
      <c r="E71" s="43">
        <f>E72</f>
        <v>13597.4</v>
      </c>
      <c r="F71" s="43">
        <f>F72</f>
        <v>0</v>
      </c>
      <c r="G71" s="43">
        <f>G72</f>
        <v>13597.4</v>
      </c>
      <c r="H71" s="43">
        <f>H72</f>
        <v>0</v>
      </c>
      <c r="I71" s="43">
        <f>I72</f>
        <v>0</v>
      </c>
      <c r="J71" s="84"/>
      <c r="K71" s="84">
        <f t="shared" si="0"/>
        <v>0</v>
      </c>
      <c r="L71" s="84">
        <f t="shared" si="1"/>
        <v>0</v>
      </c>
      <c r="M71" s="84"/>
    </row>
    <row r="72" spans="1:13" ht="31.5">
      <c r="A72" s="100" t="s">
        <v>29</v>
      </c>
      <c r="B72" s="27" t="s">
        <v>73</v>
      </c>
      <c r="C72" s="35" t="s">
        <v>430</v>
      </c>
      <c r="D72" s="35" t="s">
        <v>24</v>
      </c>
      <c r="E72" s="43">
        <v>13597.4</v>
      </c>
      <c r="F72" s="146"/>
      <c r="G72" s="43">
        <f>E72+F72</f>
        <v>13597.4</v>
      </c>
      <c r="H72" s="20">
        <v>0</v>
      </c>
      <c r="I72" s="20">
        <v>0</v>
      </c>
      <c r="J72" s="84"/>
      <c r="K72" s="84">
        <f t="shared" si="0"/>
        <v>0</v>
      </c>
      <c r="L72" s="84">
        <f t="shared" si="1"/>
        <v>0</v>
      </c>
      <c r="M72" s="84"/>
    </row>
    <row r="73" spans="1:13" ht="31.5">
      <c r="A73" s="100" t="s">
        <v>276</v>
      </c>
      <c r="B73" s="27" t="s">
        <v>73</v>
      </c>
      <c r="C73" s="35" t="s">
        <v>282</v>
      </c>
      <c r="D73" s="35"/>
      <c r="E73" s="43">
        <f>E74</f>
        <v>572.5</v>
      </c>
      <c r="F73" s="43">
        <f>F74</f>
        <v>0</v>
      </c>
      <c r="G73" s="43">
        <f>G74</f>
        <v>572.5</v>
      </c>
      <c r="H73" s="43">
        <f>H74</f>
        <v>1392.1000000000001</v>
      </c>
      <c r="I73" s="43">
        <f>I74</f>
        <v>613.5</v>
      </c>
      <c r="J73" s="84"/>
      <c r="K73" s="84">
        <f t="shared" si="0"/>
        <v>0</v>
      </c>
      <c r="L73" s="84">
        <f t="shared" si="1"/>
        <v>0</v>
      </c>
      <c r="M73" s="84"/>
    </row>
    <row r="74" spans="1:13" ht="31.5">
      <c r="A74" s="100" t="s">
        <v>29</v>
      </c>
      <c r="B74" s="27" t="s">
        <v>73</v>
      </c>
      <c r="C74" s="35" t="s">
        <v>282</v>
      </c>
      <c r="D74" s="35" t="s">
        <v>24</v>
      </c>
      <c r="E74" s="36">
        <v>572.5</v>
      </c>
      <c r="F74" s="135"/>
      <c r="G74" s="36">
        <f>E74+F74</f>
        <v>572.5</v>
      </c>
      <c r="H74" s="43">
        <f>1994.9-602.8</f>
        <v>1392.1000000000001</v>
      </c>
      <c r="I74" s="43">
        <v>613.5</v>
      </c>
      <c r="J74" s="84"/>
      <c r="K74" s="84">
        <f t="shared" si="0"/>
        <v>0</v>
      </c>
      <c r="L74" s="84">
        <f t="shared" si="1"/>
        <v>0</v>
      </c>
      <c r="M74" s="84"/>
    </row>
    <row r="75" spans="1:13" ht="31.5">
      <c r="A75" s="100" t="s">
        <v>276</v>
      </c>
      <c r="B75" s="27" t="s">
        <v>73</v>
      </c>
      <c r="C75" s="35" t="s">
        <v>283</v>
      </c>
      <c r="D75" s="35"/>
      <c r="E75" s="36">
        <f>E76</f>
        <v>143.1</v>
      </c>
      <c r="F75" s="142">
        <f>F76</f>
        <v>0</v>
      </c>
      <c r="G75" s="36">
        <f>G76</f>
        <v>143.1</v>
      </c>
      <c r="H75" s="36">
        <f>H76</f>
        <v>498.7</v>
      </c>
      <c r="I75" s="36">
        <f>I76</f>
        <v>0</v>
      </c>
      <c r="J75" s="84"/>
      <c r="K75" s="84">
        <f t="shared" si="0"/>
        <v>0</v>
      </c>
      <c r="L75" s="84">
        <f t="shared" si="1"/>
        <v>0</v>
      </c>
      <c r="M75" s="84"/>
    </row>
    <row r="76" spans="1:13" ht="31.5">
      <c r="A76" s="100" t="s">
        <v>29</v>
      </c>
      <c r="B76" s="27" t="s">
        <v>73</v>
      </c>
      <c r="C76" s="35" t="s">
        <v>283</v>
      </c>
      <c r="D76" s="35" t="s">
        <v>24</v>
      </c>
      <c r="E76" s="36">
        <v>143.1</v>
      </c>
      <c r="F76" s="140"/>
      <c r="G76" s="36">
        <f>E76+F76</f>
        <v>143.1</v>
      </c>
      <c r="H76" s="36">
        <v>498.7</v>
      </c>
      <c r="I76" s="36">
        <v>0</v>
      </c>
      <c r="J76" s="84"/>
      <c r="K76" s="84">
        <f t="shared" si="0"/>
        <v>0</v>
      </c>
      <c r="L76" s="84">
        <f t="shared" si="1"/>
        <v>0</v>
      </c>
      <c r="M76" s="84"/>
    </row>
    <row r="77" spans="1:13" ht="31.5" customHeight="1">
      <c r="A77" s="10" t="s">
        <v>317</v>
      </c>
      <c r="B77" s="78" t="s">
        <v>73</v>
      </c>
      <c r="C77" s="11" t="s">
        <v>176</v>
      </c>
      <c r="D77" s="11" t="s">
        <v>0</v>
      </c>
      <c r="E77" s="12">
        <f>E78+E80+E84+E92+E82+E86+E88+E90</f>
        <v>36964.1</v>
      </c>
      <c r="F77" s="12">
        <f>F78+F80+F84+F92+F82+F86+F88+F90</f>
        <v>0</v>
      </c>
      <c r="G77" s="12">
        <f>G78+G80+G84+G92+G82+G86+G88+G90</f>
        <v>36964.1</v>
      </c>
      <c r="H77" s="12">
        <f>H78+H80+H84+H92+H82+H86+H88+H90</f>
        <v>37274</v>
      </c>
      <c r="I77" s="12">
        <f>I78+I80+I84+I92+I82+I86+I88+I90</f>
        <v>37702.1</v>
      </c>
      <c r="J77" s="84"/>
      <c r="K77" s="84">
        <f t="shared" si="0"/>
        <v>0</v>
      </c>
      <c r="L77" s="84">
        <f t="shared" si="1"/>
        <v>0</v>
      </c>
      <c r="M77" s="84"/>
    </row>
    <row r="78" spans="1:13" ht="44.25" customHeight="1">
      <c r="A78" s="14" t="s">
        <v>37</v>
      </c>
      <c r="B78" s="42" t="s">
        <v>73</v>
      </c>
      <c r="C78" s="42" t="s">
        <v>349</v>
      </c>
      <c r="D78" s="57"/>
      <c r="E78" s="43">
        <f>E79</f>
        <v>5087.1</v>
      </c>
      <c r="F78" s="43">
        <f>F79</f>
        <v>0</v>
      </c>
      <c r="G78" s="43">
        <f>G79</f>
        <v>5087.1</v>
      </c>
      <c r="H78" s="43">
        <f>H79</f>
        <v>5358</v>
      </c>
      <c r="I78" s="43">
        <f>I79</f>
        <v>5630</v>
      </c>
      <c r="J78" s="84"/>
      <c r="K78" s="84">
        <f t="shared" si="0"/>
        <v>0</v>
      </c>
      <c r="L78" s="84">
        <f t="shared" si="1"/>
        <v>0</v>
      </c>
      <c r="M78" s="84"/>
    </row>
    <row r="79" spans="1:13" ht="47.25">
      <c r="A79" s="45" t="s">
        <v>453</v>
      </c>
      <c r="B79" s="42" t="s">
        <v>73</v>
      </c>
      <c r="C79" s="42" t="s">
        <v>349</v>
      </c>
      <c r="D79" s="42" t="s">
        <v>8</v>
      </c>
      <c r="E79" s="47">
        <f>5148.6-61.5</f>
        <v>5087.1</v>
      </c>
      <c r="F79" s="42"/>
      <c r="G79" s="47">
        <f>5148.6-61.5</f>
        <v>5087.1</v>
      </c>
      <c r="H79" s="47">
        <f>5419.5-61.5</f>
        <v>5358</v>
      </c>
      <c r="I79" s="47">
        <f>5691.5-61.5</f>
        <v>5630</v>
      </c>
      <c r="J79" s="84"/>
      <c r="K79" s="84">
        <f t="shared" si="0"/>
        <v>0</v>
      </c>
      <c r="L79" s="84">
        <f t="shared" si="1"/>
        <v>0</v>
      </c>
      <c r="M79" s="84"/>
    </row>
    <row r="80" spans="1:13" ht="47.25">
      <c r="A80" s="14" t="s">
        <v>37</v>
      </c>
      <c r="B80" s="42" t="s">
        <v>73</v>
      </c>
      <c r="C80" s="15" t="s">
        <v>350</v>
      </c>
      <c r="D80" s="15"/>
      <c r="E80" s="43">
        <f>E81</f>
        <v>1229.4</v>
      </c>
      <c r="F80" s="43">
        <f>F81</f>
        <v>0</v>
      </c>
      <c r="G80" s="43">
        <f>G81</f>
        <v>1229.4</v>
      </c>
      <c r="H80" s="43">
        <f>H81</f>
        <v>1229.4</v>
      </c>
      <c r="I80" s="43">
        <f>I81</f>
        <v>1229.4</v>
      </c>
      <c r="J80" s="84"/>
      <c r="K80" s="84">
        <f t="shared" si="0"/>
        <v>0</v>
      </c>
      <c r="L80" s="84">
        <f t="shared" si="1"/>
        <v>0</v>
      </c>
      <c r="M80" s="84"/>
    </row>
    <row r="81" spans="1:13" ht="47.25">
      <c r="A81" s="45" t="s">
        <v>453</v>
      </c>
      <c r="B81" s="42" t="s">
        <v>73</v>
      </c>
      <c r="C81" s="15" t="s">
        <v>350</v>
      </c>
      <c r="D81" s="42" t="s">
        <v>8</v>
      </c>
      <c r="E81" s="43">
        <f>1167.9+61.5</f>
        <v>1229.4</v>
      </c>
      <c r="F81" s="42"/>
      <c r="G81" s="43">
        <f>1167.9+61.5</f>
        <v>1229.4</v>
      </c>
      <c r="H81" s="43">
        <f>1167.9+61.5</f>
        <v>1229.4</v>
      </c>
      <c r="I81" s="43">
        <f>1167.9+61.5</f>
        <v>1229.4</v>
      </c>
      <c r="J81" s="84"/>
      <c r="K81" s="84">
        <f t="shared" si="0"/>
        <v>0</v>
      </c>
      <c r="L81" s="84">
        <f aca="true" t="shared" si="5" ref="L81:L144">E81+F81-G81</f>
        <v>0</v>
      </c>
      <c r="M81" s="84"/>
    </row>
    <row r="82" spans="1:13" ht="31.5">
      <c r="A82" s="45" t="s">
        <v>38</v>
      </c>
      <c r="B82" s="42" t="s">
        <v>73</v>
      </c>
      <c r="C82" s="21" t="s">
        <v>177</v>
      </c>
      <c r="D82" s="21"/>
      <c r="E82" s="43">
        <f>E83</f>
        <v>8855.3</v>
      </c>
      <c r="F82" s="43">
        <f>F83</f>
        <v>0</v>
      </c>
      <c r="G82" s="43">
        <f>G83</f>
        <v>8855.3</v>
      </c>
      <c r="H82" s="43">
        <f>H83</f>
        <v>8600.8</v>
      </c>
      <c r="I82" s="43">
        <f>I83</f>
        <v>9298.8</v>
      </c>
      <c r="J82" s="84"/>
      <c r="K82" s="84">
        <f aca="true" t="shared" si="6" ref="K82:K145">G82-E82</f>
        <v>0</v>
      </c>
      <c r="L82" s="84">
        <f t="shared" si="5"/>
        <v>0</v>
      </c>
      <c r="M82" s="84"/>
    </row>
    <row r="83" spans="1:13" ht="47.25">
      <c r="A83" s="45" t="s">
        <v>453</v>
      </c>
      <c r="B83" s="42" t="s">
        <v>73</v>
      </c>
      <c r="C83" s="21" t="s">
        <v>177</v>
      </c>
      <c r="D83" s="21" t="s">
        <v>8</v>
      </c>
      <c r="E83" s="43">
        <f>7845.4-124.5+600-300+834.4</f>
        <v>8855.3</v>
      </c>
      <c r="F83" s="21"/>
      <c r="G83" s="43">
        <f>7845.4-124.5+600-300+834.4</f>
        <v>8855.3</v>
      </c>
      <c r="H83" s="43">
        <f>8167.7-124.5+571.6-14</f>
        <v>8600.8</v>
      </c>
      <c r="I83" s="43">
        <f>8506-124.5+966.3-49</f>
        <v>9298.8</v>
      </c>
      <c r="J83" s="84"/>
      <c r="K83" s="84">
        <f t="shared" si="6"/>
        <v>0</v>
      </c>
      <c r="L83" s="84">
        <f t="shared" si="5"/>
        <v>0</v>
      </c>
      <c r="M83" s="84"/>
    </row>
    <row r="84" spans="1:13" ht="31.5">
      <c r="A84" s="40" t="s">
        <v>38</v>
      </c>
      <c r="B84" s="42" t="s">
        <v>73</v>
      </c>
      <c r="C84" s="15" t="s">
        <v>351</v>
      </c>
      <c r="D84" s="42"/>
      <c r="E84" s="43">
        <f>E85</f>
        <v>12445</v>
      </c>
      <c r="F84" s="43">
        <f>F85</f>
        <v>0</v>
      </c>
      <c r="G84" s="43">
        <f>G85</f>
        <v>12445</v>
      </c>
      <c r="H84" s="43">
        <f>H85</f>
        <v>12445</v>
      </c>
      <c r="I84" s="43">
        <f>I85</f>
        <v>12445</v>
      </c>
      <c r="J84" s="84"/>
      <c r="K84" s="84">
        <f t="shared" si="6"/>
        <v>0</v>
      </c>
      <c r="L84" s="84">
        <f t="shared" si="5"/>
        <v>0</v>
      </c>
      <c r="M84" s="84"/>
    </row>
    <row r="85" spans="1:13" ht="47.25">
      <c r="A85" s="45" t="s">
        <v>453</v>
      </c>
      <c r="B85" s="42" t="s">
        <v>73</v>
      </c>
      <c r="C85" s="15" t="s">
        <v>351</v>
      </c>
      <c r="D85" s="42" t="s">
        <v>8</v>
      </c>
      <c r="E85" s="43">
        <f>12320.5+124.5</f>
        <v>12445</v>
      </c>
      <c r="F85" s="42"/>
      <c r="G85" s="43">
        <f>12320.5+124.5</f>
        <v>12445</v>
      </c>
      <c r="H85" s="43">
        <f>12320.5+124.5</f>
        <v>12445</v>
      </c>
      <c r="I85" s="43">
        <f>12320.5+124.5</f>
        <v>12445</v>
      </c>
      <c r="J85" s="84"/>
      <c r="K85" s="84">
        <f t="shared" si="6"/>
        <v>0</v>
      </c>
      <c r="L85" s="84">
        <f t="shared" si="5"/>
        <v>0</v>
      </c>
      <c r="M85" s="84"/>
    </row>
    <row r="86" spans="1:13" ht="47.25">
      <c r="A86" s="40" t="s">
        <v>203</v>
      </c>
      <c r="B86" s="42" t="s">
        <v>73</v>
      </c>
      <c r="C86" s="15" t="s">
        <v>178</v>
      </c>
      <c r="D86" s="42"/>
      <c r="E86" s="43">
        <f>E87</f>
        <v>6596.5</v>
      </c>
      <c r="F86" s="43">
        <f>F87</f>
        <v>0</v>
      </c>
      <c r="G86" s="43">
        <f>G87</f>
        <v>6596.5</v>
      </c>
      <c r="H86" s="43">
        <f>H87</f>
        <v>6628</v>
      </c>
      <c r="I86" s="43">
        <f>I87</f>
        <v>6054.1</v>
      </c>
      <c r="J86" s="84"/>
      <c r="K86" s="84">
        <f t="shared" si="6"/>
        <v>0</v>
      </c>
      <c r="L86" s="84">
        <f t="shared" si="5"/>
        <v>0</v>
      </c>
      <c r="M86" s="84"/>
    </row>
    <row r="87" spans="1:13" ht="47.25">
      <c r="A87" s="45" t="s">
        <v>453</v>
      </c>
      <c r="B87" s="42" t="s">
        <v>73</v>
      </c>
      <c r="C87" s="15" t="s">
        <v>178</v>
      </c>
      <c r="D87" s="42" t="s">
        <v>8</v>
      </c>
      <c r="E87" s="43">
        <f>6996.5-400</f>
        <v>6596.5</v>
      </c>
      <c r="F87" s="42"/>
      <c r="G87" s="43">
        <f>6996.5-400</f>
        <v>6596.5</v>
      </c>
      <c r="H87" s="43">
        <v>6628</v>
      </c>
      <c r="I87" s="43">
        <f>3566.3+2461+26.8</f>
        <v>6054.1</v>
      </c>
      <c r="J87" s="84"/>
      <c r="K87" s="84">
        <f t="shared" si="6"/>
        <v>0</v>
      </c>
      <c r="L87" s="84">
        <f t="shared" si="5"/>
        <v>0</v>
      </c>
      <c r="M87" s="84"/>
    </row>
    <row r="88" spans="1:13" ht="15.75">
      <c r="A88" s="45" t="s">
        <v>204</v>
      </c>
      <c r="B88" s="42" t="s">
        <v>73</v>
      </c>
      <c r="C88" s="15" t="s">
        <v>205</v>
      </c>
      <c r="D88" s="42"/>
      <c r="E88" s="43">
        <f>E89</f>
        <v>473</v>
      </c>
      <c r="F88" s="43">
        <f>F89</f>
        <v>0</v>
      </c>
      <c r="G88" s="43">
        <f>G89</f>
        <v>473</v>
      </c>
      <c r="H88" s="43">
        <f>H89</f>
        <v>418</v>
      </c>
      <c r="I88" s="43">
        <f>I89</f>
        <v>450</v>
      </c>
      <c r="J88" s="84"/>
      <c r="K88" s="84">
        <f t="shared" si="6"/>
        <v>0</v>
      </c>
      <c r="L88" s="84">
        <f t="shared" si="5"/>
        <v>0</v>
      </c>
      <c r="M88" s="84"/>
    </row>
    <row r="89" spans="1:13" ht="47.25">
      <c r="A89" s="45" t="s">
        <v>453</v>
      </c>
      <c r="B89" s="42" t="s">
        <v>73</v>
      </c>
      <c r="C89" s="15" t="s">
        <v>205</v>
      </c>
      <c r="D89" s="42" t="s">
        <v>8</v>
      </c>
      <c r="E89" s="43">
        <v>473</v>
      </c>
      <c r="F89" s="43"/>
      <c r="G89" s="43">
        <f>E89+F89</f>
        <v>473</v>
      </c>
      <c r="H89" s="43">
        <v>418</v>
      </c>
      <c r="I89" s="43">
        <v>450</v>
      </c>
      <c r="J89" s="84"/>
      <c r="K89" s="84">
        <f t="shared" si="6"/>
        <v>0</v>
      </c>
      <c r="L89" s="84">
        <f t="shared" si="5"/>
        <v>0</v>
      </c>
      <c r="M89" s="84"/>
    </row>
    <row r="90" spans="1:13" ht="63">
      <c r="A90" s="40" t="s">
        <v>39</v>
      </c>
      <c r="B90" s="42" t="s">
        <v>73</v>
      </c>
      <c r="C90" s="35" t="s">
        <v>442</v>
      </c>
      <c r="D90" s="42"/>
      <c r="E90" s="43">
        <f>E91</f>
        <v>195.9</v>
      </c>
      <c r="F90" s="43">
        <f>F91</f>
        <v>0</v>
      </c>
      <c r="G90" s="43">
        <f>G91</f>
        <v>195.9</v>
      </c>
      <c r="H90" s="43">
        <f>H91</f>
        <v>0</v>
      </c>
      <c r="I90" s="43">
        <f>I91</f>
        <v>0</v>
      </c>
      <c r="J90" s="84"/>
      <c r="K90" s="84">
        <f t="shared" si="6"/>
        <v>0</v>
      </c>
      <c r="L90" s="84">
        <f t="shared" si="5"/>
        <v>0</v>
      </c>
      <c r="M90" s="84"/>
    </row>
    <row r="91" spans="1:13" ht="15.75">
      <c r="A91" s="45" t="s">
        <v>9</v>
      </c>
      <c r="B91" s="42" t="s">
        <v>73</v>
      </c>
      <c r="C91" s="35" t="s">
        <v>442</v>
      </c>
      <c r="D91" s="42" t="s">
        <v>12</v>
      </c>
      <c r="E91" s="43">
        <v>195.9</v>
      </c>
      <c r="F91" s="43"/>
      <c r="G91" s="43">
        <f>E91+F91</f>
        <v>195.9</v>
      </c>
      <c r="H91" s="43">
        <v>0</v>
      </c>
      <c r="I91" s="43">
        <v>0</v>
      </c>
      <c r="J91" s="84"/>
      <c r="K91" s="84">
        <f t="shared" si="6"/>
        <v>0</v>
      </c>
      <c r="L91" s="84">
        <f t="shared" si="5"/>
        <v>0</v>
      </c>
      <c r="M91" s="84"/>
    </row>
    <row r="92" spans="1:13" ht="63">
      <c r="A92" s="40" t="s">
        <v>39</v>
      </c>
      <c r="B92" s="42" t="s">
        <v>73</v>
      </c>
      <c r="C92" s="35" t="s">
        <v>352</v>
      </c>
      <c r="D92" s="42"/>
      <c r="E92" s="43">
        <f>E93</f>
        <v>2081.9</v>
      </c>
      <c r="F92" s="43">
        <f>F93</f>
        <v>0</v>
      </c>
      <c r="G92" s="43">
        <f>G93</f>
        <v>2081.9</v>
      </c>
      <c r="H92" s="43">
        <f>H93</f>
        <v>2594.8</v>
      </c>
      <c r="I92" s="43">
        <f>I93</f>
        <v>2594.8</v>
      </c>
      <c r="J92" s="84"/>
      <c r="K92" s="84">
        <f t="shared" si="6"/>
        <v>0</v>
      </c>
      <c r="L92" s="84">
        <f t="shared" si="5"/>
        <v>0</v>
      </c>
      <c r="M92" s="84"/>
    </row>
    <row r="93" spans="1:13" ht="15.75">
      <c r="A93" s="45" t="s">
        <v>9</v>
      </c>
      <c r="B93" s="42" t="s">
        <v>73</v>
      </c>
      <c r="C93" s="35" t="s">
        <v>352</v>
      </c>
      <c r="D93" s="42" t="s">
        <v>12</v>
      </c>
      <c r="E93" s="43">
        <v>2081.9</v>
      </c>
      <c r="F93" s="43"/>
      <c r="G93" s="43">
        <f>E93+F93</f>
        <v>2081.9</v>
      </c>
      <c r="H93" s="43">
        <f>2294.8+300</f>
        <v>2594.8</v>
      </c>
      <c r="I93" s="43">
        <f>2294.8+300</f>
        <v>2594.8</v>
      </c>
      <c r="J93" s="84"/>
      <c r="K93" s="84">
        <f t="shared" si="6"/>
        <v>0</v>
      </c>
      <c r="L93" s="84">
        <f t="shared" si="5"/>
        <v>0</v>
      </c>
      <c r="M93" s="84"/>
    </row>
    <row r="94" spans="1:13" ht="31.5">
      <c r="A94" s="10" t="s">
        <v>299</v>
      </c>
      <c r="B94" s="78" t="s">
        <v>73</v>
      </c>
      <c r="C94" s="11" t="s">
        <v>179</v>
      </c>
      <c r="D94" s="11" t="s">
        <v>0</v>
      </c>
      <c r="E94" s="12">
        <f>E97+E95</f>
        <v>270.5</v>
      </c>
      <c r="F94" s="12">
        <f>F97+F95</f>
        <v>0</v>
      </c>
      <c r="G94" s="12">
        <f>G97+G95</f>
        <v>270.5</v>
      </c>
      <c r="H94" s="12">
        <f>H97+H95</f>
        <v>212</v>
      </c>
      <c r="I94" s="12">
        <f>I97+I95</f>
        <v>212</v>
      </c>
      <c r="J94" s="84"/>
      <c r="K94" s="84">
        <f t="shared" si="6"/>
        <v>0</v>
      </c>
      <c r="L94" s="84">
        <f t="shared" si="5"/>
        <v>0</v>
      </c>
      <c r="M94" s="84"/>
    </row>
    <row r="95" spans="1:13" ht="31.5">
      <c r="A95" s="22" t="s">
        <v>58</v>
      </c>
      <c r="B95" s="27" t="s">
        <v>73</v>
      </c>
      <c r="C95" s="15" t="s">
        <v>353</v>
      </c>
      <c r="D95" s="42"/>
      <c r="E95" s="20">
        <f>E96</f>
        <v>50</v>
      </c>
      <c r="F95" s="20">
        <f>F96</f>
        <v>0</v>
      </c>
      <c r="G95" s="20">
        <f>G96</f>
        <v>50</v>
      </c>
      <c r="H95" s="20">
        <f>H96</f>
        <v>50</v>
      </c>
      <c r="I95" s="20">
        <f>I96</f>
        <v>50</v>
      </c>
      <c r="J95" s="84"/>
      <c r="K95" s="84">
        <f t="shared" si="6"/>
        <v>0</v>
      </c>
      <c r="L95" s="84">
        <f t="shared" si="5"/>
        <v>0</v>
      </c>
      <c r="M95" s="84"/>
    </row>
    <row r="96" spans="1:13" ht="15.75">
      <c r="A96" s="40" t="s">
        <v>27</v>
      </c>
      <c r="B96" s="42" t="s">
        <v>73</v>
      </c>
      <c r="C96" s="15" t="s">
        <v>353</v>
      </c>
      <c r="D96" s="42" t="s">
        <v>16</v>
      </c>
      <c r="E96" s="43">
        <v>50</v>
      </c>
      <c r="F96" s="42"/>
      <c r="G96" s="43">
        <v>50</v>
      </c>
      <c r="H96" s="43">
        <v>50</v>
      </c>
      <c r="I96" s="43">
        <v>50</v>
      </c>
      <c r="J96" s="84"/>
      <c r="K96" s="84">
        <f t="shared" si="6"/>
        <v>0</v>
      </c>
      <c r="L96" s="84">
        <f t="shared" si="5"/>
        <v>0</v>
      </c>
      <c r="M96" s="84"/>
    </row>
    <row r="97" spans="1:13" ht="31.5">
      <c r="A97" s="40" t="s">
        <v>46</v>
      </c>
      <c r="B97" s="42" t="s">
        <v>73</v>
      </c>
      <c r="C97" s="15" t="s">
        <v>180</v>
      </c>
      <c r="D97" s="21"/>
      <c r="E97" s="20">
        <f>E98</f>
        <v>220.5</v>
      </c>
      <c r="F97" s="20">
        <f>F98</f>
        <v>0</v>
      </c>
      <c r="G97" s="20">
        <f>G98</f>
        <v>220.5</v>
      </c>
      <c r="H97" s="20">
        <f>H98</f>
        <v>162</v>
      </c>
      <c r="I97" s="20">
        <f>I98</f>
        <v>162</v>
      </c>
      <c r="J97" s="84"/>
      <c r="K97" s="84">
        <f t="shared" si="6"/>
        <v>0</v>
      </c>
      <c r="L97" s="84">
        <f t="shared" si="5"/>
        <v>0</v>
      </c>
      <c r="M97" s="84"/>
    </row>
    <row r="98" spans="1:13" ht="47.25">
      <c r="A98" s="45" t="s">
        <v>453</v>
      </c>
      <c r="B98" s="42" t="s">
        <v>73</v>
      </c>
      <c r="C98" s="15" t="s">
        <v>180</v>
      </c>
      <c r="D98" s="42" t="s">
        <v>8</v>
      </c>
      <c r="E98" s="43">
        <v>220.5</v>
      </c>
      <c r="F98" s="42"/>
      <c r="G98" s="43">
        <v>220.5</v>
      </c>
      <c r="H98" s="43">
        <v>162</v>
      </c>
      <c r="I98" s="43">
        <v>162</v>
      </c>
      <c r="J98" s="84"/>
      <c r="K98" s="84">
        <f t="shared" si="6"/>
        <v>0</v>
      </c>
      <c r="L98" s="84">
        <f t="shared" si="5"/>
        <v>0</v>
      </c>
      <c r="M98" s="84"/>
    </row>
    <row r="99" spans="1:13" ht="31.5">
      <c r="A99" s="10" t="s">
        <v>318</v>
      </c>
      <c r="B99" s="78" t="s">
        <v>73</v>
      </c>
      <c r="C99" s="11" t="s">
        <v>215</v>
      </c>
      <c r="D99" s="11" t="s">
        <v>0</v>
      </c>
      <c r="E99" s="12">
        <f>E100+E102+E104</f>
        <v>6475.200000000001</v>
      </c>
      <c r="F99" s="12">
        <f>F100+F102+F104</f>
        <v>-2900</v>
      </c>
      <c r="G99" s="12">
        <f>G100+G102+G104</f>
        <v>3575.2000000000003</v>
      </c>
      <c r="H99" s="12">
        <f>H100+H102+H104</f>
        <v>1049.9</v>
      </c>
      <c r="I99" s="12">
        <f>I100+I102+I104</f>
        <v>1049.9</v>
      </c>
      <c r="J99" s="84"/>
      <c r="K99" s="84">
        <f t="shared" si="6"/>
        <v>-2900.0000000000005</v>
      </c>
      <c r="L99" s="84">
        <f t="shared" si="5"/>
        <v>0</v>
      </c>
      <c r="M99" s="84"/>
    </row>
    <row r="100" spans="1:13" ht="78.75">
      <c r="A100" s="23" t="s">
        <v>378</v>
      </c>
      <c r="B100" s="42" t="s">
        <v>73</v>
      </c>
      <c r="C100" s="35" t="s">
        <v>354</v>
      </c>
      <c r="D100" s="97"/>
      <c r="E100" s="96">
        <f>E101</f>
        <v>1049.9</v>
      </c>
      <c r="F100" s="96">
        <f>F101</f>
        <v>0</v>
      </c>
      <c r="G100" s="96">
        <f>G101</f>
        <v>1049.9</v>
      </c>
      <c r="H100" s="96">
        <f>H101</f>
        <v>1049.9</v>
      </c>
      <c r="I100" s="96">
        <f>I101</f>
        <v>1049.9</v>
      </c>
      <c r="J100" s="84"/>
      <c r="K100" s="84">
        <f t="shared" si="6"/>
        <v>0</v>
      </c>
      <c r="L100" s="84">
        <f t="shared" si="5"/>
        <v>0</v>
      </c>
      <c r="M100" s="84"/>
    </row>
    <row r="101" spans="1:13" ht="47.25">
      <c r="A101" s="45" t="s">
        <v>453</v>
      </c>
      <c r="B101" s="42" t="s">
        <v>73</v>
      </c>
      <c r="C101" s="35" t="s">
        <v>354</v>
      </c>
      <c r="D101" s="97" t="s">
        <v>8</v>
      </c>
      <c r="E101" s="96">
        <v>1049.9</v>
      </c>
      <c r="F101" s="97"/>
      <c r="G101" s="96">
        <v>1049.9</v>
      </c>
      <c r="H101" s="96">
        <v>1049.9</v>
      </c>
      <c r="I101" s="96">
        <v>1049.9</v>
      </c>
      <c r="J101" s="84"/>
      <c r="K101" s="84">
        <f t="shared" si="6"/>
        <v>0</v>
      </c>
      <c r="L101" s="84">
        <f t="shared" si="5"/>
        <v>0</v>
      </c>
      <c r="M101" s="84"/>
    </row>
    <row r="102" spans="1:13" ht="15.75">
      <c r="A102" s="23" t="s">
        <v>422</v>
      </c>
      <c r="B102" s="42" t="s">
        <v>73</v>
      </c>
      <c r="C102" s="35" t="s">
        <v>443</v>
      </c>
      <c r="D102" s="97"/>
      <c r="E102" s="96">
        <f>E103</f>
        <v>2900</v>
      </c>
      <c r="F102" s="96">
        <f>F103</f>
        <v>-2900</v>
      </c>
      <c r="G102" s="96">
        <f>G103</f>
        <v>0</v>
      </c>
      <c r="H102" s="96">
        <f>H103</f>
        <v>0</v>
      </c>
      <c r="I102" s="96">
        <f>I103</f>
        <v>0</v>
      </c>
      <c r="J102" s="84"/>
      <c r="K102" s="84">
        <f t="shared" si="6"/>
        <v>-2900</v>
      </c>
      <c r="L102" s="84">
        <f t="shared" si="5"/>
        <v>0</v>
      </c>
      <c r="M102" s="84"/>
    </row>
    <row r="103" spans="1:13" ht="31.5">
      <c r="A103" s="45" t="s">
        <v>385</v>
      </c>
      <c r="B103" s="42" t="s">
        <v>73</v>
      </c>
      <c r="C103" s="7" t="s">
        <v>443</v>
      </c>
      <c r="D103" s="21" t="s">
        <v>24</v>
      </c>
      <c r="E103" s="96">
        <v>2900</v>
      </c>
      <c r="F103" s="20">
        <v>-2900</v>
      </c>
      <c r="G103" s="96">
        <f>E103+F103</f>
        <v>0</v>
      </c>
      <c r="H103" s="96">
        <v>0</v>
      </c>
      <c r="I103" s="96">
        <v>0</v>
      </c>
      <c r="J103" s="84"/>
      <c r="K103" s="84">
        <f t="shared" si="6"/>
        <v>-2900</v>
      </c>
      <c r="L103" s="84">
        <f t="shared" si="5"/>
        <v>0</v>
      </c>
      <c r="M103" s="84"/>
    </row>
    <row r="104" spans="1:13" ht="62.25" customHeight="1">
      <c r="A104" s="23" t="s">
        <v>445</v>
      </c>
      <c r="B104" s="42" t="s">
        <v>73</v>
      </c>
      <c r="C104" s="35" t="s">
        <v>444</v>
      </c>
      <c r="D104" s="97"/>
      <c r="E104" s="96">
        <f>E105</f>
        <v>2525.3</v>
      </c>
      <c r="F104" s="96">
        <f>F105</f>
        <v>0</v>
      </c>
      <c r="G104" s="96">
        <f>G105</f>
        <v>2525.3</v>
      </c>
      <c r="H104" s="96">
        <f>H105</f>
        <v>0</v>
      </c>
      <c r="I104" s="96">
        <f>I105</f>
        <v>0</v>
      </c>
      <c r="J104" s="84"/>
      <c r="K104" s="84">
        <f t="shared" si="6"/>
        <v>0</v>
      </c>
      <c r="L104" s="84">
        <f t="shared" si="5"/>
        <v>0</v>
      </c>
      <c r="M104" s="84"/>
    </row>
    <row r="105" spans="1:13" ht="15.75">
      <c r="A105" s="46" t="s">
        <v>42</v>
      </c>
      <c r="B105" s="42" t="s">
        <v>73</v>
      </c>
      <c r="C105" s="7" t="s">
        <v>444</v>
      </c>
      <c r="D105" s="21" t="s">
        <v>43</v>
      </c>
      <c r="E105" s="96">
        <v>2525.3</v>
      </c>
      <c r="F105" s="20"/>
      <c r="G105" s="96">
        <f>E105+F105</f>
        <v>2525.3</v>
      </c>
      <c r="H105" s="96">
        <v>0</v>
      </c>
      <c r="I105" s="96">
        <v>0</v>
      </c>
      <c r="J105" s="84"/>
      <c r="K105" s="84">
        <f t="shared" si="6"/>
        <v>0</v>
      </c>
      <c r="L105" s="84">
        <f t="shared" si="5"/>
        <v>0</v>
      </c>
      <c r="M105" s="84"/>
    </row>
    <row r="106" spans="1:13" ht="15.75">
      <c r="A106" s="76" t="s">
        <v>300</v>
      </c>
      <c r="B106" s="72" t="s">
        <v>73</v>
      </c>
      <c r="C106" s="71" t="s">
        <v>109</v>
      </c>
      <c r="D106" s="71" t="s">
        <v>0</v>
      </c>
      <c r="E106" s="77">
        <f>E107</f>
        <v>800</v>
      </c>
      <c r="F106" s="77">
        <f>F107</f>
        <v>0</v>
      </c>
      <c r="G106" s="77">
        <f>G107</f>
        <v>800</v>
      </c>
      <c r="H106" s="77">
        <f>H107</f>
        <v>800</v>
      </c>
      <c r="I106" s="77">
        <f>I107</f>
        <v>800</v>
      </c>
      <c r="J106" s="84"/>
      <c r="K106" s="84">
        <f t="shared" si="6"/>
        <v>0</v>
      </c>
      <c r="L106" s="84">
        <f t="shared" si="5"/>
        <v>0</v>
      </c>
      <c r="M106" s="84"/>
    </row>
    <row r="107" spans="1:13" ht="15.75">
      <c r="A107" s="10" t="s">
        <v>303</v>
      </c>
      <c r="B107" s="81" t="s">
        <v>73</v>
      </c>
      <c r="C107" s="11" t="s">
        <v>116</v>
      </c>
      <c r="D107" s="11" t="s">
        <v>0</v>
      </c>
      <c r="E107" s="12">
        <f>E108+E113+E116+E111</f>
        <v>800</v>
      </c>
      <c r="F107" s="12">
        <f>F108+F113+F116+F111</f>
        <v>0</v>
      </c>
      <c r="G107" s="12">
        <f>G108+G113+G116+G111</f>
        <v>800</v>
      </c>
      <c r="H107" s="12">
        <f>H108+H113+H116+H111</f>
        <v>800</v>
      </c>
      <c r="I107" s="12">
        <f>I108+I113+I116+I111</f>
        <v>800</v>
      </c>
      <c r="J107" s="84"/>
      <c r="K107" s="84">
        <f t="shared" si="6"/>
        <v>0</v>
      </c>
      <c r="L107" s="84">
        <f t="shared" si="5"/>
        <v>0</v>
      </c>
      <c r="M107" s="84"/>
    </row>
    <row r="108" spans="1:13" ht="15.75">
      <c r="A108" s="40" t="s">
        <v>69</v>
      </c>
      <c r="B108" s="42" t="s">
        <v>73</v>
      </c>
      <c r="C108" s="42" t="s">
        <v>367</v>
      </c>
      <c r="D108" s="42"/>
      <c r="E108" s="43">
        <f>E109+E110</f>
        <v>500</v>
      </c>
      <c r="F108" s="43">
        <f>F109+F110</f>
        <v>0</v>
      </c>
      <c r="G108" s="43">
        <f>G109+G110</f>
        <v>500</v>
      </c>
      <c r="H108" s="43">
        <f>H109+H110</f>
        <v>500</v>
      </c>
      <c r="I108" s="43">
        <f>I109+I110</f>
        <v>500</v>
      </c>
      <c r="J108" s="84"/>
      <c r="K108" s="84">
        <f t="shared" si="6"/>
        <v>0</v>
      </c>
      <c r="L108" s="84">
        <f t="shared" si="5"/>
        <v>0</v>
      </c>
      <c r="M108" s="84"/>
    </row>
    <row r="109" spans="1:13" ht="47.25">
      <c r="A109" s="45" t="s">
        <v>453</v>
      </c>
      <c r="B109" s="42" t="s">
        <v>73</v>
      </c>
      <c r="C109" s="42" t="s">
        <v>367</v>
      </c>
      <c r="D109" s="42" t="s">
        <v>8</v>
      </c>
      <c r="E109" s="37">
        <v>300</v>
      </c>
      <c r="F109" s="42"/>
      <c r="G109" s="37">
        <v>300</v>
      </c>
      <c r="H109" s="37">
        <v>300</v>
      </c>
      <c r="I109" s="37">
        <v>300</v>
      </c>
      <c r="J109" s="84"/>
      <c r="K109" s="84">
        <f t="shared" si="6"/>
        <v>0</v>
      </c>
      <c r="L109" s="84">
        <f t="shared" si="5"/>
        <v>0</v>
      </c>
      <c r="M109" s="84"/>
    </row>
    <row r="110" spans="1:13" ht="15.75">
      <c r="A110" s="40" t="s">
        <v>27</v>
      </c>
      <c r="B110" s="42" t="s">
        <v>73</v>
      </c>
      <c r="C110" s="42" t="s">
        <v>367</v>
      </c>
      <c r="D110" s="42" t="s">
        <v>16</v>
      </c>
      <c r="E110" s="37">
        <v>200</v>
      </c>
      <c r="F110" s="42"/>
      <c r="G110" s="37">
        <v>200</v>
      </c>
      <c r="H110" s="37">
        <v>200</v>
      </c>
      <c r="I110" s="37">
        <v>200</v>
      </c>
      <c r="J110" s="84"/>
      <c r="K110" s="84">
        <f t="shared" si="6"/>
        <v>0</v>
      </c>
      <c r="L110" s="84">
        <f t="shared" si="5"/>
        <v>0</v>
      </c>
      <c r="M110" s="84"/>
    </row>
    <row r="111" spans="1:13" ht="35.25" customHeight="1">
      <c r="A111" s="41" t="s">
        <v>370</v>
      </c>
      <c r="B111" s="27" t="s">
        <v>73</v>
      </c>
      <c r="C111" s="27" t="s">
        <v>371</v>
      </c>
      <c r="D111" s="27"/>
      <c r="E111" s="37">
        <f>E112</f>
        <v>50</v>
      </c>
      <c r="F111" s="37">
        <f>F112</f>
        <v>0</v>
      </c>
      <c r="G111" s="37">
        <f>G112</f>
        <v>50</v>
      </c>
      <c r="H111" s="37">
        <f>H112</f>
        <v>50</v>
      </c>
      <c r="I111" s="37">
        <f>I112</f>
        <v>50</v>
      </c>
      <c r="J111" s="84"/>
      <c r="K111" s="84">
        <f t="shared" si="6"/>
        <v>0</v>
      </c>
      <c r="L111" s="84">
        <f t="shared" si="5"/>
        <v>0</v>
      </c>
      <c r="M111" s="84"/>
    </row>
    <row r="112" spans="1:13" ht="47.25">
      <c r="A112" s="45" t="s">
        <v>453</v>
      </c>
      <c r="B112" s="27" t="s">
        <v>73</v>
      </c>
      <c r="C112" s="27" t="s">
        <v>371</v>
      </c>
      <c r="D112" s="27" t="s">
        <v>8</v>
      </c>
      <c r="E112" s="37">
        <v>50</v>
      </c>
      <c r="F112" s="27"/>
      <c r="G112" s="37">
        <v>50</v>
      </c>
      <c r="H112" s="37">
        <v>50</v>
      </c>
      <c r="I112" s="37">
        <v>50</v>
      </c>
      <c r="J112" s="84"/>
      <c r="K112" s="84">
        <f t="shared" si="6"/>
        <v>0</v>
      </c>
      <c r="L112" s="84">
        <f t="shared" si="5"/>
        <v>0</v>
      </c>
      <c r="M112" s="84"/>
    </row>
    <row r="113" spans="1:13" ht="31.5">
      <c r="A113" s="40" t="s">
        <v>92</v>
      </c>
      <c r="B113" s="42" t="s">
        <v>73</v>
      </c>
      <c r="C113" s="42" t="s">
        <v>123</v>
      </c>
      <c r="D113" s="42"/>
      <c r="E113" s="43">
        <f>E114+E115</f>
        <v>150</v>
      </c>
      <c r="F113" s="43">
        <f>F114+F115</f>
        <v>0</v>
      </c>
      <c r="G113" s="43">
        <f>G114+G115</f>
        <v>150</v>
      </c>
      <c r="H113" s="43">
        <f>H114+H115</f>
        <v>150</v>
      </c>
      <c r="I113" s="43">
        <f>I114+I115</f>
        <v>150</v>
      </c>
      <c r="J113" s="84"/>
      <c r="K113" s="84">
        <f t="shared" si="6"/>
        <v>0</v>
      </c>
      <c r="L113" s="84">
        <f t="shared" si="5"/>
        <v>0</v>
      </c>
      <c r="M113" s="84"/>
    </row>
    <row r="114" spans="1:13" ht="63">
      <c r="A114" s="166" t="s">
        <v>14</v>
      </c>
      <c r="B114" s="42" t="s">
        <v>73</v>
      </c>
      <c r="C114" s="42" t="s">
        <v>123</v>
      </c>
      <c r="D114" s="42" t="s">
        <v>15</v>
      </c>
      <c r="E114" s="43">
        <v>15</v>
      </c>
      <c r="F114" s="42"/>
      <c r="G114" s="43">
        <v>15</v>
      </c>
      <c r="H114" s="43">
        <v>15</v>
      </c>
      <c r="I114" s="43">
        <v>15</v>
      </c>
      <c r="J114" s="84"/>
      <c r="K114" s="84">
        <f t="shared" si="6"/>
        <v>0</v>
      </c>
      <c r="L114" s="84">
        <f t="shared" si="5"/>
        <v>0</v>
      </c>
      <c r="M114" s="84"/>
    </row>
    <row r="115" spans="1:13" ht="47.25">
      <c r="A115" s="45" t="s">
        <v>453</v>
      </c>
      <c r="B115" s="42" t="s">
        <v>73</v>
      </c>
      <c r="C115" s="42" t="s">
        <v>123</v>
      </c>
      <c r="D115" s="42" t="s">
        <v>8</v>
      </c>
      <c r="E115" s="43">
        <v>135</v>
      </c>
      <c r="F115" s="42"/>
      <c r="G115" s="43">
        <v>135</v>
      </c>
      <c r="H115" s="43">
        <v>135</v>
      </c>
      <c r="I115" s="43">
        <v>135</v>
      </c>
      <c r="J115" s="84"/>
      <c r="K115" s="84">
        <f t="shared" si="6"/>
        <v>0</v>
      </c>
      <c r="L115" s="84">
        <f t="shared" si="5"/>
        <v>0</v>
      </c>
      <c r="M115" s="84"/>
    </row>
    <row r="116" spans="1:13" ht="32.25" customHeight="1">
      <c r="A116" s="40" t="s">
        <v>93</v>
      </c>
      <c r="B116" s="42" t="s">
        <v>73</v>
      </c>
      <c r="C116" s="42" t="s">
        <v>124</v>
      </c>
      <c r="D116" s="42"/>
      <c r="E116" s="43">
        <f>E118+E117</f>
        <v>100</v>
      </c>
      <c r="F116" s="43">
        <f>F118+F117</f>
        <v>0</v>
      </c>
      <c r="G116" s="43">
        <f>G118+G117</f>
        <v>100</v>
      </c>
      <c r="H116" s="43">
        <f>H118+H117</f>
        <v>100</v>
      </c>
      <c r="I116" s="43">
        <f>I118+I117</f>
        <v>100</v>
      </c>
      <c r="J116" s="84"/>
      <c r="K116" s="84">
        <f t="shared" si="6"/>
        <v>0</v>
      </c>
      <c r="L116" s="84">
        <f t="shared" si="5"/>
        <v>0</v>
      </c>
      <c r="M116" s="84"/>
    </row>
    <row r="117" spans="1:13" ht="64.5" customHeight="1">
      <c r="A117" s="166" t="s">
        <v>14</v>
      </c>
      <c r="B117" s="42" t="s">
        <v>73</v>
      </c>
      <c r="C117" s="42" t="s">
        <v>124</v>
      </c>
      <c r="D117" s="42" t="s">
        <v>15</v>
      </c>
      <c r="E117" s="43">
        <v>25</v>
      </c>
      <c r="F117" s="42"/>
      <c r="G117" s="43">
        <v>25</v>
      </c>
      <c r="H117" s="43">
        <v>25</v>
      </c>
      <c r="I117" s="43">
        <v>25</v>
      </c>
      <c r="J117" s="84"/>
      <c r="K117" s="84">
        <f t="shared" si="6"/>
        <v>0</v>
      </c>
      <c r="L117" s="84">
        <f t="shared" si="5"/>
        <v>0</v>
      </c>
      <c r="M117" s="84"/>
    </row>
    <row r="118" spans="1:13" ht="47.25">
      <c r="A118" s="45" t="s">
        <v>453</v>
      </c>
      <c r="B118" s="42" t="s">
        <v>73</v>
      </c>
      <c r="C118" s="42" t="s">
        <v>124</v>
      </c>
      <c r="D118" s="42" t="s">
        <v>8</v>
      </c>
      <c r="E118" s="43">
        <v>75</v>
      </c>
      <c r="F118" s="42"/>
      <c r="G118" s="43">
        <v>75</v>
      </c>
      <c r="H118" s="43">
        <v>75</v>
      </c>
      <c r="I118" s="43">
        <v>75</v>
      </c>
      <c r="J118" s="84"/>
      <c r="K118" s="84">
        <f t="shared" si="6"/>
        <v>0</v>
      </c>
      <c r="L118" s="84">
        <f t="shared" si="5"/>
        <v>0</v>
      </c>
      <c r="M118" s="84"/>
    </row>
    <row r="119" spans="1:13" ht="31.5">
      <c r="A119" s="76" t="s">
        <v>305</v>
      </c>
      <c r="B119" s="72" t="s">
        <v>73</v>
      </c>
      <c r="C119" s="71" t="s">
        <v>135</v>
      </c>
      <c r="D119" s="71" t="s">
        <v>0</v>
      </c>
      <c r="E119" s="77">
        <f>E135+E123+E129+E138+E133+E125+E127+E120+E142+E140+E131</f>
        <v>63298.9</v>
      </c>
      <c r="F119" s="77">
        <f>F135+F123+F129+F138+F133+F125+F127+F120+F142+F140+F131</f>
        <v>2650</v>
      </c>
      <c r="G119" s="77">
        <f>G135+G123+G129+G138+G133+G125+G127+G120+G142+G140+G131</f>
        <v>65948.90000000001</v>
      </c>
      <c r="H119" s="77">
        <f>H135+H123+H129+H138+H133+H125+H127+H120+H142+H140+H131</f>
        <v>61910.899999999994</v>
      </c>
      <c r="I119" s="77">
        <f>I135+I123+I129+I138+I133+I125+I127+I120+I142+I140+I131</f>
        <v>62368.399999999994</v>
      </c>
      <c r="J119" s="84"/>
      <c r="K119" s="84">
        <f t="shared" si="6"/>
        <v>2650.0000000000073</v>
      </c>
      <c r="L119" s="84">
        <f t="shared" si="5"/>
        <v>0</v>
      </c>
      <c r="M119" s="84"/>
    </row>
    <row r="120" spans="1:13" ht="15.75">
      <c r="A120" s="40" t="s">
        <v>355</v>
      </c>
      <c r="B120" s="42" t="s">
        <v>73</v>
      </c>
      <c r="C120" s="42" t="s">
        <v>356</v>
      </c>
      <c r="D120" s="42"/>
      <c r="E120" s="43">
        <f>E122+E121</f>
        <v>190</v>
      </c>
      <c r="F120" s="43">
        <f>F122+F121</f>
        <v>2650</v>
      </c>
      <c r="G120" s="43">
        <f>G122+G121</f>
        <v>2840</v>
      </c>
      <c r="H120" s="43">
        <f>H122+H121</f>
        <v>100</v>
      </c>
      <c r="I120" s="43">
        <f>I122+I121</f>
        <v>100</v>
      </c>
      <c r="J120" s="84"/>
      <c r="K120" s="84">
        <f t="shared" si="6"/>
        <v>2650</v>
      </c>
      <c r="L120" s="84">
        <f t="shared" si="5"/>
        <v>0</v>
      </c>
      <c r="M120" s="84"/>
    </row>
    <row r="121" spans="1:13" ht="47.25">
      <c r="A121" s="45" t="s">
        <v>453</v>
      </c>
      <c r="B121" s="42" t="s">
        <v>73</v>
      </c>
      <c r="C121" s="42" t="s">
        <v>356</v>
      </c>
      <c r="D121" s="42" t="s">
        <v>8</v>
      </c>
      <c r="E121" s="43">
        <v>100</v>
      </c>
      <c r="F121" s="43"/>
      <c r="G121" s="43">
        <f>E121+F121</f>
        <v>100</v>
      </c>
      <c r="H121" s="43">
        <v>0</v>
      </c>
      <c r="I121" s="43">
        <v>0</v>
      </c>
      <c r="J121" s="84"/>
      <c r="K121" s="84">
        <f t="shared" si="6"/>
        <v>0</v>
      </c>
      <c r="L121" s="84">
        <f t="shared" si="5"/>
        <v>0</v>
      </c>
      <c r="M121" s="84"/>
    </row>
    <row r="122" spans="1:13" ht="31.5">
      <c r="A122" s="45" t="s">
        <v>10</v>
      </c>
      <c r="B122" s="42" t="s">
        <v>73</v>
      </c>
      <c r="C122" s="42" t="s">
        <v>356</v>
      </c>
      <c r="D122" s="42" t="s">
        <v>11</v>
      </c>
      <c r="E122" s="43">
        <v>90</v>
      </c>
      <c r="F122" s="43">
        <v>2650</v>
      </c>
      <c r="G122" s="43">
        <f>E122+F122</f>
        <v>2740</v>
      </c>
      <c r="H122" s="43">
        <v>100</v>
      </c>
      <c r="I122" s="43">
        <v>100</v>
      </c>
      <c r="J122" s="84"/>
      <c r="K122" s="84">
        <f t="shared" si="6"/>
        <v>2650</v>
      </c>
      <c r="L122" s="84">
        <f t="shared" si="5"/>
        <v>0</v>
      </c>
      <c r="M122" s="84"/>
    </row>
    <row r="123" spans="1:13" ht="31.5">
      <c r="A123" s="45" t="s">
        <v>52</v>
      </c>
      <c r="B123" s="42" t="s">
        <v>73</v>
      </c>
      <c r="C123" s="42" t="s">
        <v>136</v>
      </c>
      <c r="D123" s="42"/>
      <c r="E123" s="43">
        <f>E124</f>
        <v>55155.8</v>
      </c>
      <c r="F123" s="43">
        <f>F124</f>
        <v>0</v>
      </c>
      <c r="G123" s="43">
        <f>G124</f>
        <v>55155.8</v>
      </c>
      <c r="H123" s="43">
        <f>H124</f>
        <v>55939.9</v>
      </c>
      <c r="I123" s="43">
        <f>I124</f>
        <v>55935.3</v>
      </c>
      <c r="J123" s="84"/>
      <c r="K123" s="84">
        <f t="shared" si="6"/>
        <v>0</v>
      </c>
      <c r="L123" s="84">
        <f t="shared" si="5"/>
        <v>0</v>
      </c>
      <c r="M123" s="84"/>
    </row>
    <row r="124" spans="1:13" ht="31.5">
      <c r="A124" s="45" t="s">
        <v>10</v>
      </c>
      <c r="B124" s="42" t="s">
        <v>73</v>
      </c>
      <c r="C124" s="42" t="s">
        <v>136</v>
      </c>
      <c r="D124" s="42" t="s">
        <v>11</v>
      </c>
      <c r="E124" s="37">
        <v>55155.8</v>
      </c>
      <c r="F124" s="37"/>
      <c r="G124" s="37">
        <f>E124+F124</f>
        <v>55155.8</v>
      </c>
      <c r="H124" s="37">
        <f>56000-26.1-34</f>
        <v>55939.9</v>
      </c>
      <c r="I124" s="37">
        <f>56000-26.1-38.6</f>
        <v>55935.3</v>
      </c>
      <c r="J124" s="84"/>
      <c r="K124" s="84">
        <f t="shared" si="6"/>
        <v>0</v>
      </c>
      <c r="L124" s="84">
        <f t="shared" si="5"/>
        <v>0</v>
      </c>
      <c r="M124" s="84"/>
    </row>
    <row r="125" spans="1:13" ht="47.25">
      <c r="A125" s="45" t="s">
        <v>272</v>
      </c>
      <c r="B125" s="42" t="s">
        <v>73</v>
      </c>
      <c r="C125" s="42" t="s">
        <v>275</v>
      </c>
      <c r="D125" s="42"/>
      <c r="E125" s="43">
        <f>E126</f>
        <v>2953.2</v>
      </c>
      <c r="F125" s="43">
        <f>F126</f>
        <v>0</v>
      </c>
      <c r="G125" s="43">
        <f>G126</f>
        <v>2953.2</v>
      </c>
      <c r="H125" s="43">
        <f>H126</f>
        <v>3398.1</v>
      </c>
      <c r="I125" s="43">
        <f>I126</f>
        <v>3860.2</v>
      </c>
      <c r="J125" s="84"/>
      <c r="K125" s="84">
        <f t="shared" si="6"/>
        <v>0</v>
      </c>
      <c r="L125" s="84">
        <f t="shared" si="5"/>
        <v>0</v>
      </c>
      <c r="M125" s="84"/>
    </row>
    <row r="126" spans="1:13" ht="31.5">
      <c r="A126" s="45" t="s">
        <v>10</v>
      </c>
      <c r="B126" s="42" t="s">
        <v>73</v>
      </c>
      <c r="C126" s="42" t="s">
        <v>275</v>
      </c>
      <c r="D126" s="42" t="s">
        <v>11</v>
      </c>
      <c r="E126" s="37">
        <f>2923.7+29.5</f>
        <v>2953.2</v>
      </c>
      <c r="F126" s="37">
        <v>0</v>
      </c>
      <c r="G126" s="37">
        <f>E126+F126</f>
        <v>2953.2</v>
      </c>
      <c r="H126" s="37">
        <f>3364.1+34</f>
        <v>3398.1</v>
      </c>
      <c r="I126" s="37">
        <f>3821.6+38.6</f>
        <v>3860.2</v>
      </c>
      <c r="J126" s="84"/>
      <c r="K126" s="84">
        <f t="shared" si="6"/>
        <v>0</v>
      </c>
      <c r="L126" s="84">
        <f t="shared" si="5"/>
        <v>0</v>
      </c>
      <c r="M126" s="84"/>
    </row>
    <row r="127" spans="1:13" ht="31.5">
      <c r="A127" s="45" t="s">
        <v>261</v>
      </c>
      <c r="B127" s="42" t="s">
        <v>73</v>
      </c>
      <c r="C127" s="42" t="s">
        <v>334</v>
      </c>
      <c r="D127" s="42"/>
      <c r="E127" s="37">
        <f>E128</f>
        <v>52.2</v>
      </c>
      <c r="F127" s="37">
        <f>F128</f>
        <v>0</v>
      </c>
      <c r="G127" s="37">
        <f>G128</f>
        <v>52.2</v>
      </c>
      <c r="H127" s="37">
        <f>H128</f>
        <v>52.2</v>
      </c>
      <c r="I127" s="37">
        <f>I128</f>
        <v>52.2</v>
      </c>
      <c r="J127" s="84"/>
      <c r="K127" s="84">
        <f t="shared" si="6"/>
        <v>0</v>
      </c>
      <c r="L127" s="84">
        <f t="shared" si="5"/>
        <v>0</v>
      </c>
      <c r="M127" s="84"/>
    </row>
    <row r="128" spans="1:13" ht="31.5">
      <c r="A128" s="45" t="s">
        <v>10</v>
      </c>
      <c r="B128" s="42" t="s">
        <v>73</v>
      </c>
      <c r="C128" s="42" t="s">
        <v>334</v>
      </c>
      <c r="D128" s="42" t="s">
        <v>11</v>
      </c>
      <c r="E128" s="37">
        <f>26.1+26.1</f>
        <v>52.2</v>
      </c>
      <c r="F128" s="37">
        <v>0</v>
      </c>
      <c r="G128" s="37">
        <f>E128+F128</f>
        <v>52.2</v>
      </c>
      <c r="H128" s="37">
        <f>26.1+26.1</f>
        <v>52.2</v>
      </c>
      <c r="I128" s="37">
        <f>26.1+26.1</f>
        <v>52.2</v>
      </c>
      <c r="J128" s="84"/>
      <c r="K128" s="84">
        <f t="shared" si="6"/>
        <v>0</v>
      </c>
      <c r="L128" s="84">
        <f t="shared" si="5"/>
        <v>0</v>
      </c>
      <c r="M128" s="84"/>
    </row>
    <row r="129" spans="1:13" ht="31.5">
      <c r="A129" s="45" t="s">
        <v>40</v>
      </c>
      <c r="B129" s="42" t="s">
        <v>73</v>
      </c>
      <c r="C129" s="42" t="s">
        <v>357</v>
      </c>
      <c r="D129" s="42"/>
      <c r="E129" s="43">
        <f>E130</f>
        <v>300.7</v>
      </c>
      <c r="F129" s="43">
        <f>F130</f>
        <v>0</v>
      </c>
      <c r="G129" s="43">
        <f>G130</f>
        <v>300.7</v>
      </c>
      <c r="H129" s="43">
        <f>H130</f>
        <v>300.7</v>
      </c>
      <c r="I129" s="43">
        <f>I130</f>
        <v>300.7</v>
      </c>
      <c r="J129" s="84"/>
      <c r="K129" s="84">
        <f t="shared" si="6"/>
        <v>0</v>
      </c>
      <c r="L129" s="84">
        <f t="shared" si="5"/>
        <v>0</v>
      </c>
      <c r="M129" s="84"/>
    </row>
    <row r="130" spans="1:13" ht="31.5">
      <c r="A130" s="45" t="s">
        <v>10</v>
      </c>
      <c r="B130" s="42" t="s">
        <v>73</v>
      </c>
      <c r="C130" s="42" t="s">
        <v>357</v>
      </c>
      <c r="D130" s="42" t="s">
        <v>11</v>
      </c>
      <c r="E130" s="43">
        <v>300.7</v>
      </c>
      <c r="F130" s="43">
        <v>0</v>
      </c>
      <c r="G130" s="37">
        <f>E130+F130</f>
        <v>300.7</v>
      </c>
      <c r="H130" s="43">
        <v>300.7</v>
      </c>
      <c r="I130" s="43">
        <v>300.7</v>
      </c>
      <c r="J130" s="84"/>
      <c r="K130" s="84">
        <f t="shared" si="6"/>
        <v>0</v>
      </c>
      <c r="L130" s="84">
        <f t="shared" si="5"/>
        <v>0</v>
      </c>
      <c r="M130" s="84"/>
    </row>
    <row r="131" spans="1:13" ht="63">
      <c r="A131" s="45" t="s">
        <v>436</v>
      </c>
      <c r="B131" s="42" t="s">
        <v>73</v>
      </c>
      <c r="C131" s="42" t="s">
        <v>435</v>
      </c>
      <c r="D131" s="42"/>
      <c r="E131" s="43">
        <f>E132</f>
        <v>1788.6</v>
      </c>
      <c r="F131" s="43">
        <f>F132</f>
        <v>0</v>
      </c>
      <c r="G131" s="43">
        <f>G132</f>
        <v>1788.6</v>
      </c>
      <c r="H131" s="43">
        <f>H132</f>
        <v>0</v>
      </c>
      <c r="I131" s="43">
        <f>I132</f>
        <v>0</v>
      </c>
      <c r="J131" s="84"/>
      <c r="K131" s="84">
        <f t="shared" si="6"/>
        <v>0</v>
      </c>
      <c r="L131" s="84">
        <f t="shared" si="5"/>
        <v>0</v>
      </c>
      <c r="M131" s="84"/>
    </row>
    <row r="132" spans="1:13" ht="31.5">
      <c r="A132" s="45" t="s">
        <v>10</v>
      </c>
      <c r="B132" s="42" t="s">
        <v>73</v>
      </c>
      <c r="C132" s="42" t="s">
        <v>435</v>
      </c>
      <c r="D132" s="42" t="s">
        <v>11</v>
      </c>
      <c r="E132" s="43">
        <v>1788.6</v>
      </c>
      <c r="F132" s="43"/>
      <c r="G132" s="37">
        <f>E132+F132</f>
        <v>1788.6</v>
      </c>
      <c r="H132" s="43">
        <v>0</v>
      </c>
      <c r="I132" s="43">
        <v>0</v>
      </c>
      <c r="J132" s="84"/>
      <c r="K132" s="84">
        <f t="shared" si="6"/>
        <v>0</v>
      </c>
      <c r="L132" s="84">
        <f t="shared" si="5"/>
        <v>0</v>
      </c>
      <c r="M132" s="84"/>
    </row>
    <row r="133" spans="1:13" ht="31.5">
      <c r="A133" s="45" t="s">
        <v>212</v>
      </c>
      <c r="B133" s="27" t="s">
        <v>73</v>
      </c>
      <c r="C133" s="42" t="s">
        <v>211</v>
      </c>
      <c r="D133" s="15"/>
      <c r="E133" s="17">
        <f>E134</f>
        <v>14.3</v>
      </c>
      <c r="F133" s="17">
        <f>F134</f>
        <v>0</v>
      </c>
      <c r="G133" s="17">
        <f>G134</f>
        <v>14.3</v>
      </c>
      <c r="H133" s="17">
        <f>H134</f>
        <v>20</v>
      </c>
      <c r="I133" s="17">
        <f>I134</f>
        <v>20</v>
      </c>
      <c r="J133" s="84"/>
      <c r="K133" s="84">
        <f t="shared" si="6"/>
        <v>0</v>
      </c>
      <c r="L133" s="84">
        <f t="shared" si="5"/>
        <v>0</v>
      </c>
      <c r="M133" s="84"/>
    </row>
    <row r="134" spans="1:13" ht="47.25">
      <c r="A134" s="45" t="s">
        <v>453</v>
      </c>
      <c r="B134" s="27" t="s">
        <v>73</v>
      </c>
      <c r="C134" s="42" t="s">
        <v>211</v>
      </c>
      <c r="D134" s="15" t="s">
        <v>8</v>
      </c>
      <c r="E134" s="43">
        <v>14.3</v>
      </c>
      <c r="F134" s="43"/>
      <c r="G134" s="37">
        <f>E134+F134</f>
        <v>14.3</v>
      </c>
      <c r="H134" s="43">
        <v>20</v>
      </c>
      <c r="I134" s="43">
        <v>20</v>
      </c>
      <c r="J134" s="84"/>
      <c r="K134" s="84">
        <f t="shared" si="6"/>
        <v>0</v>
      </c>
      <c r="L134" s="84">
        <f t="shared" si="5"/>
        <v>0</v>
      </c>
      <c r="M134" s="84"/>
    </row>
    <row r="135" spans="1:13" ht="31.5">
      <c r="A135" s="45" t="s">
        <v>41</v>
      </c>
      <c r="B135" s="27" t="s">
        <v>73</v>
      </c>
      <c r="C135" s="42" t="s">
        <v>137</v>
      </c>
      <c r="D135" s="15"/>
      <c r="E135" s="17">
        <f>E137+E136</f>
        <v>1721.3</v>
      </c>
      <c r="F135" s="17">
        <f>F137+F136</f>
        <v>0</v>
      </c>
      <c r="G135" s="17">
        <f>G137+G136</f>
        <v>1721.3</v>
      </c>
      <c r="H135" s="17">
        <f>H137+H136</f>
        <v>2000</v>
      </c>
      <c r="I135" s="17">
        <f>I137+I136</f>
        <v>2000</v>
      </c>
      <c r="J135" s="84"/>
      <c r="K135" s="84">
        <f t="shared" si="6"/>
        <v>0</v>
      </c>
      <c r="L135" s="84">
        <f t="shared" si="5"/>
        <v>0</v>
      </c>
      <c r="M135" s="84"/>
    </row>
    <row r="136" spans="1:13" ht="73.5" customHeight="1">
      <c r="A136" s="45" t="s">
        <v>14</v>
      </c>
      <c r="B136" s="27" t="s">
        <v>73</v>
      </c>
      <c r="C136" s="42" t="s">
        <v>137</v>
      </c>
      <c r="D136" s="15" t="s">
        <v>15</v>
      </c>
      <c r="E136" s="17">
        <v>1300</v>
      </c>
      <c r="F136" s="17"/>
      <c r="G136" s="37">
        <f>E136+F136</f>
        <v>1300</v>
      </c>
      <c r="H136" s="17">
        <v>1500</v>
      </c>
      <c r="I136" s="17">
        <v>1500</v>
      </c>
      <c r="J136" s="84"/>
      <c r="K136" s="84">
        <f t="shared" si="6"/>
        <v>0</v>
      </c>
      <c r="L136" s="84">
        <f t="shared" si="5"/>
        <v>0</v>
      </c>
      <c r="M136" s="84"/>
    </row>
    <row r="137" spans="1:13" ht="47.25">
      <c r="A137" s="45" t="s">
        <v>453</v>
      </c>
      <c r="B137" s="27" t="s">
        <v>73</v>
      </c>
      <c r="C137" s="42" t="s">
        <v>137</v>
      </c>
      <c r="D137" s="15" t="s">
        <v>8</v>
      </c>
      <c r="E137" s="43">
        <v>421.3</v>
      </c>
      <c r="F137" s="43"/>
      <c r="G137" s="37">
        <f>E137+F137</f>
        <v>421.3</v>
      </c>
      <c r="H137" s="43">
        <v>500</v>
      </c>
      <c r="I137" s="43">
        <v>500</v>
      </c>
      <c r="J137" s="84"/>
      <c r="K137" s="84">
        <f t="shared" si="6"/>
        <v>0</v>
      </c>
      <c r="L137" s="84">
        <f t="shared" si="5"/>
        <v>0</v>
      </c>
      <c r="M137" s="84"/>
    </row>
    <row r="138" spans="1:13" ht="47.25">
      <c r="A138" s="22" t="s">
        <v>186</v>
      </c>
      <c r="B138" s="27" t="s">
        <v>73</v>
      </c>
      <c r="C138" s="42" t="s">
        <v>198</v>
      </c>
      <c r="D138" s="15"/>
      <c r="E138" s="43">
        <f>E139</f>
        <v>100</v>
      </c>
      <c r="F138" s="43">
        <f>F139</f>
        <v>0</v>
      </c>
      <c r="G138" s="43">
        <f>G139</f>
        <v>100</v>
      </c>
      <c r="H138" s="43">
        <f>H139</f>
        <v>100</v>
      </c>
      <c r="I138" s="43">
        <f>I139</f>
        <v>100</v>
      </c>
      <c r="J138" s="84"/>
      <c r="K138" s="84">
        <f t="shared" si="6"/>
        <v>0</v>
      </c>
      <c r="L138" s="84">
        <f t="shared" si="5"/>
        <v>0</v>
      </c>
      <c r="M138" s="84"/>
    </row>
    <row r="139" spans="1:13" ht="31.5">
      <c r="A139" s="45" t="s">
        <v>10</v>
      </c>
      <c r="B139" s="27" t="s">
        <v>73</v>
      </c>
      <c r="C139" s="42" t="s">
        <v>198</v>
      </c>
      <c r="D139" s="15" t="s">
        <v>11</v>
      </c>
      <c r="E139" s="43">
        <v>100</v>
      </c>
      <c r="F139" s="43">
        <v>0</v>
      </c>
      <c r="G139" s="37">
        <f>E139+F139</f>
        <v>100</v>
      </c>
      <c r="H139" s="43">
        <v>100</v>
      </c>
      <c r="I139" s="43">
        <v>100</v>
      </c>
      <c r="J139" s="84"/>
      <c r="K139" s="84">
        <f t="shared" si="6"/>
        <v>0</v>
      </c>
      <c r="L139" s="84">
        <f t="shared" si="5"/>
        <v>0</v>
      </c>
      <c r="M139" s="84"/>
    </row>
    <row r="140" spans="1:13" ht="32.25" customHeight="1">
      <c r="A140" s="45" t="s">
        <v>393</v>
      </c>
      <c r="B140" s="27" t="s">
        <v>73</v>
      </c>
      <c r="C140" s="42" t="s">
        <v>437</v>
      </c>
      <c r="D140" s="15"/>
      <c r="E140" s="43">
        <f>E141</f>
        <v>387.9</v>
      </c>
      <c r="F140" s="43">
        <f>F141</f>
        <v>0</v>
      </c>
      <c r="G140" s="43">
        <f>G141</f>
        <v>387.9</v>
      </c>
      <c r="H140" s="43">
        <f>H141</f>
        <v>0</v>
      </c>
      <c r="I140" s="43">
        <f>I141</f>
        <v>0</v>
      </c>
      <c r="J140" s="84"/>
      <c r="K140" s="84">
        <f t="shared" si="6"/>
        <v>0</v>
      </c>
      <c r="L140" s="84">
        <f t="shared" si="5"/>
        <v>0</v>
      </c>
      <c r="M140" s="84"/>
    </row>
    <row r="141" spans="1:13" ht="32.25" customHeight="1">
      <c r="A141" s="45" t="s">
        <v>10</v>
      </c>
      <c r="B141" s="27" t="s">
        <v>73</v>
      </c>
      <c r="C141" s="42" t="s">
        <v>437</v>
      </c>
      <c r="D141" s="15" t="s">
        <v>11</v>
      </c>
      <c r="E141" s="43">
        <v>387.9</v>
      </c>
      <c r="F141" s="43"/>
      <c r="G141" s="37">
        <f>E141+F141</f>
        <v>387.9</v>
      </c>
      <c r="H141" s="43">
        <v>0</v>
      </c>
      <c r="I141" s="43">
        <v>0</v>
      </c>
      <c r="J141" s="84"/>
      <c r="K141" s="84">
        <f t="shared" si="6"/>
        <v>0</v>
      </c>
      <c r="L141" s="84">
        <f t="shared" si="5"/>
        <v>0</v>
      </c>
      <c r="M141" s="84"/>
    </row>
    <row r="142" spans="1:13" ht="45.75" customHeight="1">
      <c r="A142" s="45" t="s">
        <v>387</v>
      </c>
      <c r="B142" s="27" t="s">
        <v>73</v>
      </c>
      <c r="C142" s="42" t="s">
        <v>388</v>
      </c>
      <c r="D142" s="15"/>
      <c r="E142" s="43">
        <f>E143</f>
        <v>634.9</v>
      </c>
      <c r="F142" s="43">
        <f>F143</f>
        <v>0</v>
      </c>
      <c r="G142" s="43">
        <f>G143</f>
        <v>634.9</v>
      </c>
      <c r="H142" s="43">
        <f>H143</f>
        <v>0</v>
      </c>
      <c r="I142" s="43">
        <f>I143</f>
        <v>0</v>
      </c>
      <c r="J142" s="84"/>
      <c r="K142" s="84">
        <f t="shared" si="6"/>
        <v>0</v>
      </c>
      <c r="L142" s="84">
        <f t="shared" si="5"/>
        <v>0</v>
      </c>
      <c r="M142" s="84"/>
    </row>
    <row r="143" spans="1:13" ht="32.25" customHeight="1">
      <c r="A143" s="45" t="s">
        <v>10</v>
      </c>
      <c r="B143" s="27" t="s">
        <v>73</v>
      </c>
      <c r="C143" s="42" t="s">
        <v>388</v>
      </c>
      <c r="D143" s="15" t="s">
        <v>11</v>
      </c>
      <c r="E143" s="43">
        <v>634.9</v>
      </c>
      <c r="F143" s="43"/>
      <c r="G143" s="37">
        <f>E143+F143</f>
        <v>634.9</v>
      </c>
      <c r="H143" s="43">
        <v>0</v>
      </c>
      <c r="I143" s="43">
        <v>0</v>
      </c>
      <c r="J143" s="84"/>
      <c r="K143" s="84">
        <f t="shared" si="6"/>
        <v>0</v>
      </c>
      <c r="L143" s="84">
        <f t="shared" si="5"/>
        <v>0</v>
      </c>
      <c r="M143" s="84"/>
    </row>
    <row r="144" spans="1:13" ht="31.5">
      <c r="A144" s="174" t="s">
        <v>306</v>
      </c>
      <c r="B144" s="72" t="s">
        <v>73</v>
      </c>
      <c r="C144" s="71" t="s">
        <v>147</v>
      </c>
      <c r="D144" s="71" t="s">
        <v>0</v>
      </c>
      <c r="E144" s="77">
        <f>E148+E183+E145</f>
        <v>134632.6</v>
      </c>
      <c r="F144" s="77">
        <f>F148+F183+F145</f>
        <v>-75</v>
      </c>
      <c r="G144" s="77">
        <f>G148+G183+G145</f>
        <v>134557.6</v>
      </c>
      <c r="H144" s="77">
        <f>H148+H183+H145</f>
        <v>125034.79999999999</v>
      </c>
      <c r="I144" s="77">
        <f>I148+I183+I145</f>
        <v>121890.20000000001</v>
      </c>
      <c r="J144" s="84"/>
      <c r="K144" s="84">
        <f t="shared" si="6"/>
        <v>-75</v>
      </c>
      <c r="L144" s="84">
        <f t="shared" si="5"/>
        <v>0</v>
      </c>
      <c r="M144" s="84"/>
    </row>
    <row r="145" spans="1:13" ht="31.5">
      <c r="A145" s="175" t="s">
        <v>319</v>
      </c>
      <c r="B145" s="78" t="s">
        <v>73</v>
      </c>
      <c r="C145" s="11" t="s">
        <v>148</v>
      </c>
      <c r="D145" s="102"/>
      <c r="E145" s="12">
        <f aca="true" t="shared" si="7" ref="E145:I146">E146</f>
        <v>7041.4</v>
      </c>
      <c r="F145" s="12">
        <f t="shared" si="7"/>
        <v>0</v>
      </c>
      <c r="G145" s="12">
        <f t="shared" si="7"/>
        <v>7041.4</v>
      </c>
      <c r="H145" s="12">
        <f t="shared" si="7"/>
        <v>6327.7</v>
      </c>
      <c r="I145" s="12">
        <f>I146</f>
        <v>0</v>
      </c>
      <c r="J145" s="84"/>
      <c r="K145" s="84">
        <f t="shared" si="6"/>
        <v>0</v>
      </c>
      <c r="L145" s="84">
        <f aca="true" t="shared" si="8" ref="L145:L208">E145+F145-G145</f>
        <v>0</v>
      </c>
      <c r="M145" s="84"/>
    </row>
    <row r="146" spans="1:13" ht="15.75">
      <c r="A146" s="45" t="s">
        <v>233</v>
      </c>
      <c r="B146" s="27" t="s">
        <v>73</v>
      </c>
      <c r="C146" s="35" t="s">
        <v>232</v>
      </c>
      <c r="D146" s="89"/>
      <c r="E146" s="36">
        <f>E147</f>
        <v>7041.4</v>
      </c>
      <c r="F146" s="36">
        <f>F147</f>
        <v>0</v>
      </c>
      <c r="G146" s="36">
        <f>G147</f>
        <v>7041.4</v>
      </c>
      <c r="H146" s="36">
        <f t="shared" si="7"/>
        <v>6327.7</v>
      </c>
      <c r="I146" s="36">
        <f t="shared" si="7"/>
        <v>0</v>
      </c>
      <c r="J146" s="84"/>
      <c r="K146" s="84">
        <f aca="true" t="shared" si="9" ref="K146:K209">G146-E146</f>
        <v>0</v>
      </c>
      <c r="L146" s="84">
        <f t="shared" si="8"/>
        <v>0</v>
      </c>
      <c r="M146" s="84"/>
    </row>
    <row r="147" spans="1:13" ht="15.75">
      <c r="A147" s="45" t="s">
        <v>223</v>
      </c>
      <c r="B147" s="27" t="s">
        <v>73</v>
      </c>
      <c r="C147" s="35" t="s">
        <v>232</v>
      </c>
      <c r="D147" s="35" t="s">
        <v>224</v>
      </c>
      <c r="E147" s="36">
        <v>7041.4</v>
      </c>
      <c r="F147" s="36">
        <v>0</v>
      </c>
      <c r="G147" s="36">
        <v>7041.4</v>
      </c>
      <c r="H147" s="36">
        <v>6327.7</v>
      </c>
      <c r="I147" s="36">
        <v>0</v>
      </c>
      <c r="J147" s="84"/>
      <c r="K147" s="84">
        <f t="shared" si="9"/>
        <v>0</v>
      </c>
      <c r="L147" s="84">
        <f t="shared" si="8"/>
        <v>0</v>
      </c>
      <c r="M147" s="84"/>
    </row>
    <row r="148" spans="1:13" ht="15.75">
      <c r="A148" s="175" t="s">
        <v>309</v>
      </c>
      <c r="B148" s="78" t="s">
        <v>73</v>
      </c>
      <c r="C148" s="11" t="s">
        <v>155</v>
      </c>
      <c r="D148" s="11" t="s">
        <v>0</v>
      </c>
      <c r="E148" s="12">
        <f>E149+E151+E156+E163+E166+E169+E172+E178+E175+E160+E181</f>
        <v>124691.8</v>
      </c>
      <c r="F148" s="12">
        <f>F149+F151+F156+F163+F166+F169+F172+F178+F175+F160+F181</f>
        <v>-75</v>
      </c>
      <c r="G148" s="12">
        <f>G149+G151+G156+G163+G166+G169+G172+G178+G175+G160+G181</f>
        <v>124616.8</v>
      </c>
      <c r="H148" s="12">
        <f>H149+H151+H156+H163+H166+H169+H172+H178+H175+H160+H181</f>
        <v>116948.7</v>
      </c>
      <c r="I148" s="12">
        <f>I149+I151+I156+I163+I166+I169+I172+I178+I175+I160+I181</f>
        <v>120131.80000000002</v>
      </c>
      <c r="J148" s="84"/>
      <c r="K148" s="84">
        <f t="shared" si="9"/>
        <v>-75</v>
      </c>
      <c r="L148" s="84">
        <f t="shared" si="8"/>
        <v>0</v>
      </c>
      <c r="M148" s="84"/>
    </row>
    <row r="149" spans="1:13" ht="31.5">
      <c r="A149" s="45" t="s">
        <v>19</v>
      </c>
      <c r="B149" s="42" t="s">
        <v>73</v>
      </c>
      <c r="C149" s="15" t="s">
        <v>156</v>
      </c>
      <c r="D149" s="7"/>
      <c r="E149" s="8">
        <f>E150</f>
        <v>200</v>
      </c>
      <c r="F149" s="8">
        <f>F150</f>
        <v>0</v>
      </c>
      <c r="G149" s="8">
        <f>G150</f>
        <v>200</v>
      </c>
      <c r="H149" s="8">
        <f>H150</f>
        <v>200</v>
      </c>
      <c r="I149" s="8">
        <f>I150</f>
        <v>200</v>
      </c>
      <c r="J149" s="84"/>
      <c r="K149" s="84">
        <f t="shared" si="9"/>
        <v>0</v>
      </c>
      <c r="L149" s="84">
        <f t="shared" si="8"/>
        <v>0</v>
      </c>
      <c r="M149" s="84"/>
    </row>
    <row r="150" spans="1:13" ht="47.25">
      <c r="A150" s="45" t="s">
        <v>453</v>
      </c>
      <c r="B150" s="42" t="s">
        <v>73</v>
      </c>
      <c r="C150" s="15" t="s">
        <v>156</v>
      </c>
      <c r="D150" s="42" t="s">
        <v>8</v>
      </c>
      <c r="E150" s="43">
        <v>200</v>
      </c>
      <c r="F150" s="42"/>
      <c r="G150" s="43">
        <v>200</v>
      </c>
      <c r="H150" s="43">
        <v>200</v>
      </c>
      <c r="I150" s="43">
        <v>200</v>
      </c>
      <c r="J150" s="84"/>
      <c r="K150" s="84">
        <f t="shared" si="9"/>
        <v>0</v>
      </c>
      <c r="L150" s="84">
        <f t="shared" si="8"/>
        <v>0</v>
      </c>
      <c r="M150" s="84"/>
    </row>
    <row r="151" spans="1:13" ht="31.5">
      <c r="A151" s="45" t="s">
        <v>13</v>
      </c>
      <c r="B151" s="42" t="s">
        <v>73</v>
      </c>
      <c r="C151" s="42" t="s">
        <v>157</v>
      </c>
      <c r="D151" s="21"/>
      <c r="E151" s="20">
        <f>E152+E153+E154+E155</f>
        <v>108868.00000000001</v>
      </c>
      <c r="F151" s="20">
        <f>F152+F153+F154+F155</f>
        <v>-275</v>
      </c>
      <c r="G151" s="20">
        <f>G152+G153+G154+G155</f>
        <v>108593.00000000001</v>
      </c>
      <c r="H151" s="20">
        <f>SUM(H152:H155)</f>
        <v>102002.1</v>
      </c>
      <c r="I151" s="20">
        <f>SUM(I152:I155)</f>
        <v>104553.5</v>
      </c>
      <c r="J151" s="84"/>
      <c r="K151" s="84">
        <f t="shared" si="9"/>
        <v>-275</v>
      </c>
      <c r="L151" s="84">
        <f t="shared" si="8"/>
        <v>0</v>
      </c>
      <c r="M151" s="84"/>
    </row>
    <row r="152" spans="1:13" ht="63">
      <c r="A152" s="45" t="s">
        <v>14</v>
      </c>
      <c r="B152" s="42" t="s">
        <v>73</v>
      </c>
      <c r="C152" s="42" t="s">
        <v>157</v>
      </c>
      <c r="D152" s="42" t="s">
        <v>15</v>
      </c>
      <c r="E152" s="37">
        <v>89285.8</v>
      </c>
      <c r="F152" s="37">
        <v>-275</v>
      </c>
      <c r="G152" s="37">
        <f>F152+E152</f>
        <v>89010.8</v>
      </c>
      <c r="H152" s="37">
        <f>92014.6-1160.1-2886.2</f>
        <v>87968.3</v>
      </c>
      <c r="I152" s="37">
        <f>92014.6-1160.1</f>
        <v>90854.5</v>
      </c>
      <c r="J152" s="84"/>
      <c r="K152" s="84">
        <f t="shared" si="9"/>
        <v>-275</v>
      </c>
      <c r="L152" s="84">
        <f t="shared" si="8"/>
        <v>0</v>
      </c>
      <c r="M152" s="84"/>
    </row>
    <row r="153" spans="1:13" ht="47.25">
      <c r="A153" s="45" t="s">
        <v>453</v>
      </c>
      <c r="B153" s="42" t="s">
        <v>73</v>
      </c>
      <c r="C153" s="42" t="s">
        <v>157</v>
      </c>
      <c r="D153" s="42" t="s">
        <v>8</v>
      </c>
      <c r="E153" s="37">
        <v>9130.6</v>
      </c>
      <c r="F153" s="37"/>
      <c r="G153" s="37">
        <f>E153+F153</f>
        <v>9130.6</v>
      </c>
      <c r="H153" s="37">
        <f>4251.1-124+513</f>
        <v>4640.1</v>
      </c>
      <c r="I153" s="37">
        <v>4305.3</v>
      </c>
      <c r="J153" s="84"/>
      <c r="K153" s="84">
        <f t="shared" si="9"/>
        <v>0</v>
      </c>
      <c r="L153" s="84">
        <f t="shared" si="8"/>
        <v>0</v>
      </c>
      <c r="M153" s="84"/>
    </row>
    <row r="154" spans="1:13" ht="15.75">
      <c r="A154" s="45" t="s">
        <v>66</v>
      </c>
      <c r="B154" s="42" t="s">
        <v>73</v>
      </c>
      <c r="C154" s="42" t="s">
        <v>157</v>
      </c>
      <c r="D154" s="42" t="s">
        <v>16</v>
      </c>
      <c r="E154" s="37">
        <v>10122.8</v>
      </c>
      <c r="F154" s="129"/>
      <c r="G154" s="37">
        <f>E154+F154</f>
        <v>10122.8</v>
      </c>
      <c r="H154" s="37">
        <v>9065.7</v>
      </c>
      <c r="I154" s="37">
        <v>9065.7</v>
      </c>
      <c r="J154" s="84"/>
      <c r="K154" s="84">
        <f t="shared" si="9"/>
        <v>0</v>
      </c>
      <c r="L154" s="84">
        <f t="shared" si="8"/>
        <v>0</v>
      </c>
      <c r="M154" s="84"/>
    </row>
    <row r="155" spans="1:13" ht="15.75">
      <c r="A155" s="45" t="s">
        <v>9</v>
      </c>
      <c r="B155" s="42" t="s">
        <v>73</v>
      </c>
      <c r="C155" s="42" t="s">
        <v>157</v>
      </c>
      <c r="D155" s="42" t="s">
        <v>12</v>
      </c>
      <c r="E155" s="37">
        <v>328.8</v>
      </c>
      <c r="F155" s="129"/>
      <c r="G155" s="37">
        <f>E155+F155</f>
        <v>328.8</v>
      </c>
      <c r="H155" s="37">
        <v>328</v>
      </c>
      <c r="I155" s="37">
        <v>328</v>
      </c>
      <c r="J155" s="84"/>
      <c r="K155" s="84">
        <f t="shared" si="9"/>
        <v>0</v>
      </c>
      <c r="L155" s="84">
        <f t="shared" si="8"/>
        <v>0</v>
      </c>
      <c r="M155" s="84"/>
    </row>
    <row r="156" spans="1:13" ht="31.5">
      <c r="A156" s="45" t="s">
        <v>53</v>
      </c>
      <c r="B156" s="27" t="s">
        <v>73</v>
      </c>
      <c r="C156" s="15" t="s">
        <v>158</v>
      </c>
      <c r="D156" s="7"/>
      <c r="E156" s="8">
        <f>E157+E158+E159</f>
        <v>9656.6</v>
      </c>
      <c r="F156" s="8">
        <f>F157+F158+F159</f>
        <v>0</v>
      </c>
      <c r="G156" s="8">
        <f>G157+G158+G159</f>
        <v>9656.6</v>
      </c>
      <c r="H156" s="8">
        <f>H157+H158+H159</f>
        <v>9656.6</v>
      </c>
      <c r="I156" s="8">
        <f>I157+I158+I159</f>
        <v>9656.6</v>
      </c>
      <c r="J156" s="84"/>
      <c r="K156" s="84">
        <f t="shared" si="9"/>
        <v>0</v>
      </c>
      <c r="L156" s="84">
        <f t="shared" si="8"/>
        <v>0</v>
      </c>
      <c r="M156" s="84"/>
    </row>
    <row r="157" spans="1:13" ht="63">
      <c r="A157" s="45" t="s">
        <v>14</v>
      </c>
      <c r="B157" s="42" t="s">
        <v>73</v>
      </c>
      <c r="C157" s="15" t="s">
        <v>158</v>
      </c>
      <c r="D157" s="7" t="s">
        <v>15</v>
      </c>
      <c r="E157" s="8">
        <f>7935+1160.1</f>
        <v>9095.1</v>
      </c>
      <c r="F157" s="7"/>
      <c r="G157" s="8">
        <f>7935+1160.1</f>
        <v>9095.1</v>
      </c>
      <c r="H157" s="8">
        <f>9095.1</f>
        <v>9095.1</v>
      </c>
      <c r="I157" s="8">
        <v>9095.1</v>
      </c>
      <c r="J157" s="84"/>
      <c r="K157" s="84">
        <f t="shared" si="9"/>
        <v>0</v>
      </c>
      <c r="L157" s="84">
        <f t="shared" si="8"/>
        <v>0</v>
      </c>
      <c r="M157" s="84"/>
    </row>
    <row r="158" spans="1:13" ht="47.25">
      <c r="A158" s="45" t="s">
        <v>453</v>
      </c>
      <c r="B158" s="42" t="s">
        <v>73</v>
      </c>
      <c r="C158" s="15" t="s">
        <v>158</v>
      </c>
      <c r="D158" s="42" t="s">
        <v>8</v>
      </c>
      <c r="E158" s="8">
        <v>500</v>
      </c>
      <c r="F158" s="42"/>
      <c r="G158" s="8">
        <v>500</v>
      </c>
      <c r="H158" s="8">
        <v>500</v>
      </c>
      <c r="I158" s="8">
        <v>500</v>
      </c>
      <c r="J158" s="84"/>
      <c r="K158" s="84">
        <f t="shared" si="9"/>
        <v>0</v>
      </c>
      <c r="L158" s="84">
        <f t="shared" si="8"/>
        <v>0</v>
      </c>
      <c r="M158" s="84"/>
    </row>
    <row r="159" spans="1:13" ht="15.75">
      <c r="A159" s="45" t="s">
        <v>9</v>
      </c>
      <c r="B159" s="42" t="s">
        <v>73</v>
      </c>
      <c r="C159" s="15" t="s">
        <v>158</v>
      </c>
      <c r="D159" s="42" t="s">
        <v>12</v>
      </c>
      <c r="E159" s="8">
        <v>61.5</v>
      </c>
      <c r="F159" s="42"/>
      <c r="G159" s="8">
        <v>61.5</v>
      </c>
      <c r="H159" s="8">
        <v>61.5</v>
      </c>
      <c r="I159" s="8">
        <v>61.5</v>
      </c>
      <c r="J159" s="84"/>
      <c r="K159" s="84">
        <f t="shared" si="9"/>
        <v>0</v>
      </c>
      <c r="L159" s="84">
        <f t="shared" si="8"/>
        <v>0</v>
      </c>
      <c r="M159" s="84"/>
    </row>
    <row r="160" spans="1:13" ht="78" customHeight="1">
      <c r="A160" s="45" t="s">
        <v>250</v>
      </c>
      <c r="B160" s="42" t="s">
        <v>73</v>
      </c>
      <c r="C160" s="27" t="s">
        <v>184</v>
      </c>
      <c r="D160" s="42"/>
      <c r="E160" s="20">
        <f>E161+E162</f>
        <v>25.1</v>
      </c>
      <c r="F160" s="20">
        <f>F161+F162</f>
        <v>0</v>
      </c>
      <c r="G160" s="20">
        <f>G161+G162</f>
        <v>25.1</v>
      </c>
      <c r="H160" s="20">
        <f>H161+H162</f>
        <v>25.700000000000003</v>
      </c>
      <c r="I160" s="20">
        <f>I161+I162</f>
        <v>26.700000000000003</v>
      </c>
      <c r="J160" s="84"/>
      <c r="K160" s="84">
        <f t="shared" si="9"/>
        <v>0</v>
      </c>
      <c r="L160" s="84">
        <f t="shared" si="8"/>
        <v>0</v>
      </c>
      <c r="M160" s="84"/>
    </row>
    <row r="161" spans="1:13" ht="63">
      <c r="A161" s="45" t="s">
        <v>14</v>
      </c>
      <c r="B161" s="42" t="s">
        <v>73</v>
      </c>
      <c r="C161" s="27" t="s">
        <v>184</v>
      </c>
      <c r="D161" s="42" t="s">
        <v>15</v>
      </c>
      <c r="E161" s="20">
        <f>15.6+0.7+0.8</f>
        <v>17.1</v>
      </c>
      <c r="F161" s="42"/>
      <c r="G161" s="20">
        <f>15.6+0.7+0.8</f>
        <v>17.1</v>
      </c>
      <c r="H161" s="20">
        <f>16.1+0.8+0.8</f>
        <v>17.700000000000003</v>
      </c>
      <c r="I161" s="20">
        <f>16.8+0.8+1.1</f>
        <v>18.700000000000003</v>
      </c>
      <c r="J161" s="84"/>
      <c r="K161" s="84">
        <f t="shared" si="9"/>
        <v>0</v>
      </c>
      <c r="L161" s="84">
        <f t="shared" si="8"/>
        <v>0</v>
      </c>
      <c r="M161" s="84"/>
    </row>
    <row r="162" spans="1:13" ht="47.25">
      <c r="A162" s="45" t="s">
        <v>453</v>
      </c>
      <c r="B162" s="42" t="s">
        <v>73</v>
      </c>
      <c r="C162" s="27" t="s">
        <v>184</v>
      </c>
      <c r="D162" s="42" t="s">
        <v>8</v>
      </c>
      <c r="E162" s="20">
        <f>5+2+1</f>
        <v>8</v>
      </c>
      <c r="F162" s="42"/>
      <c r="G162" s="20">
        <f>5+2+1</f>
        <v>8</v>
      </c>
      <c r="H162" s="20">
        <f>5+2+1</f>
        <v>8</v>
      </c>
      <c r="I162" s="20">
        <f>5+2+1</f>
        <v>8</v>
      </c>
      <c r="J162" s="84"/>
      <c r="K162" s="84">
        <f t="shared" si="9"/>
        <v>0</v>
      </c>
      <c r="L162" s="84">
        <f t="shared" si="8"/>
        <v>0</v>
      </c>
      <c r="M162" s="84"/>
    </row>
    <row r="163" spans="1:13" ht="78.75">
      <c r="A163" s="45" t="s">
        <v>366</v>
      </c>
      <c r="B163" s="42" t="s">
        <v>73</v>
      </c>
      <c r="C163" s="27" t="s">
        <v>164</v>
      </c>
      <c r="D163" s="121"/>
      <c r="E163" s="122">
        <f>E164+E165</f>
        <v>15.9</v>
      </c>
      <c r="F163" s="122">
        <f>F164+F165</f>
        <v>0</v>
      </c>
      <c r="G163" s="122">
        <f>G164+G165</f>
        <v>15.9</v>
      </c>
      <c r="H163" s="122">
        <f>H164+H165</f>
        <v>16.400000000000002</v>
      </c>
      <c r="I163" s="122">
        <f>I164+I165</f>
        <v>17</v>
      </c>
      <c r="J163" s="84"/>
      <c r="K163" s="84">
        <f t="shared" si="9"/>
        <v>0</v>
      </c>
      <c r="L163" s="84">
        <f t="shared" si="8"/>
        <v>0</v>
      </c>
      <c r="M163" s="84"/>
    </row>
    <row r="164" spans="1:13" ht="63">
      <c r="A164" s="45" t="s">
        <v>14</v>
      </c>
      <c r="B164" s="42" t="s">
        <v>73</v>
      </c>
      <c r="C164" s="27" t="s">
        <v>164</v>
      </c>
      <c r="D164" s="42" t="s">
        <v>15</v>
      </c>
      <c r="E164" s="43">
        <v>15.6</v>
      </c>
      <c r="F164" s="42"/>
      <c r="G164" s="43">
        <v>15.6</v>
      </c>
      <c r="H164" s="43">
        <v>16.1</v>
      </c>
      <c r="I164" s="43">
        <v>16.7</v>
      </c>
      <c r="J164" s="84"/>
      <c r="K164" s="84">
        <f t="shared" si="9"/>
        <v>0</v>
      </c>
      <c r="L164" s="84">
        <f t="shared" si="8"/>
        <v>0</v>
      </c>
      <c r="M164" s="84"/>
    </row>
    <row r="165" spans="1:13" ht="47.25">
      <c r="A165" s="45" t="s">
        <v>453</v>
      </c>
      <c r="B165" s="42" t="s">
        <v>73</v>
      </c>
      <c r="C165" s="27" t="s">
        <v>164</v>
      </c>
      <c r="D165" s="42" t="s">
        <v>8</v>
      </c>
      <c r="E165" s="43">
        <v>0.3</v>
      </c>
      <c r="F165" s="42"/>
      <c r="G165" s="43">
        <v>0.3</v>
      </c>
      <c r="H165" s="43">
        <v>0.3</v>
      </c>
      <c r="I165" s="43">
        <v>0.3</v>
      </c>
      <c r="J165" s="84"/>
      <c r="K165" s="84">
        <f t="shared" si="9"/>
        <v>0</v>
      </c>
      <c r="L165" s="84">
        <f t="shared" si="8"/>
        <v>0</v>
      </c>
      <c r="M165" s="84"/>
    </row>
    <row r="166" spans="1:13" ht="78.75">
      <c r="A166" s="45" t="s">
        <v>364</v>
      </c>
      <c r="B166" s="42" t="s">
        <v>73</v>
      </c>
      <c r="C166" s="27" t="s">
        <v>365</v>
      </c>
      <c r="D166" s="121"/>
      <c r="E166" s="122">
        <f>E167+E168</f>
        <v>63.5</v>
      </c>
      <c r="F166" s="122">
        <f>F167+F168</f>
        <v>0</v>
      </c>
      <c r="G166" s="122">
        <f>G167+G168</f>
        <v>63.5</v>
      </c>
      <c r="H166" s="122">
        <f>H167+H168</f>
        <v>65.60000000000001</v>
      </c>
      <c r="I166" s="122">
        <f>I167+I168</f>
        <v>68.10000000000001</v>
      </c>
      <c r="J166" s="84"/>
      <c r="K166" s="84">
        <f t="shared" si="9"/>
        <v>0</v>
      </c>
      <c r="L166" s="84">
        <f t="shared" si="8"/>
        <v>0</v>
      </c>
      <c r="M166" s="84"/>
    </row>
    <row r="167" spans="1:13" ht="63">
      <c r="A167" s="45" t="s">
        <v>14</v>
      </c>
      <c r="B167" s="42" t="s">
        <v>73</v>
      </c>
      <c r="C167" s="27" t="s">
        <v>365</v>
      </c>
      <c r="D167" s="121" t="s">
        <v>15</v>
      </c>
      <c r="E167" s="122">
        <v>62.3</v>
      </c>
      <c r="F167" s="121"/>
      <c r="G167" s="122">
        <v>62.3</v>
      </c>
      <c r="H167" s="122">
        <v>64.4</v>
      </c>
      <c r="I167" s="122">
        <v>66.9</v>
      </c>
      <c r="J167" s="84"/>
      <c r="K167" s="84">
        <f t="shared" si="9"/>
        <v>0</v>
      </c>
      <c r="L167" s="84">
        <f t="shared" si="8"/>
        <v>0</v>
      </c>
      <c r="M167" s="84"/>
    </row>
    <row r="168" spans="1:13" ht="47.25">
      <c r="A168" s="45" t="s">
        <v>453</v>
      </c>
      <c r="B168" s="42" t="s">
        <v>73</v>
      </c>
      <c r="C168" s="27" t="s">
        <v>365</v>
      </c>
      <c r="D168" s="42" t="s">
        <v>8</v>
      </c>
      <c r="E168" s="43">
        <v>1.2</v>
      </c>
      <c r="F168" s="42"/>
      <c r="G168" s="43">
        <v>1.2</v>
      </c>
      <c r="H168" s="43">
        <v>1.2</v>
      </c>
      <c r="I168" s="43">
        <v>1.2</v>
      </c>
      <c r="J168" s="84"/>
      <c r="K168" s="84">
        <f t="shared" si="9"/>
        <v>0</v>
      </c>
      <c r="L168" s="84">
        <f t="shared" si="8"/>
        <v>0</v>
      </c>
      <c r="M168" s="84"/>
    </row>
    <row r="169" spans="1:13" ht="78.75">
      <c r="A169" s="45" t="s">
        <v>220</v>
      </c>
      <c r="B169" s="42" t="s">
        <v>73</v>
      </c>
      <c r="C169" s="27" t="s">
        <v>165</v>
      </c>
      <c r="D169" s="121"/>
      <c r="E169" s="122">
        <f>E170+E171</f>
        <v>82.9</v>
      </c>
      <c r="F169" s="122">
        <f>F170+F171</f>
        <v>0</v>
      </c>
      <c r="G169" s="122">
        <f>G170+G171</f>
        <v>82.9</v>
      </c>
      <c r="H169" s="122">
        <f>H170+H171</f>
        <v>85.4</v>
      </c>
      <c r="I169" s="122">
        <f>I170+I171</f>
        <v>88.6</v>
      </c>
      <c r="J169" s="84"/>
      <c r="K169" s="84">
        <f t="shared" si="9"/>
        <v>0</v>
      </c>
      <c r="L169" s="84">
        <f t="shared" si="8"/>
        <v>0</v>
      </c>
      <c r="M169" s="84"/>
    </row>
    <row r="170" spans="1:13" ht="63">
      <c r="A170" s="45" t="s">
        <v>14</v>
      </c>
      <c r="B170" s="42" t="s">
        <v>73</v>
      </c>
      <c r="C170" s="27" t="s">
        <v>165</v>
      </c>
      <c r="D170" s="42" t="s">
        <v>15</v>
      </c>
      <c r="E170" s="43">
        <v>77.9</v>
      </c>
      <c r="F170" s="42"/>
      <c r="G170" s="43">
        <v>77.9</v>
      </c>
      <c r="H170" s="43">
        <v>80.4</v>
      </c>
      <c r="I170" s="43">
        <v>83.6</v>
      </c>
      <c r="J170" s="84"/>
      <c r="K170" s="84">
        <f t="shared" si="9"/>
        <v>0</v>
      </c>
      <c r="L170" s="84">
        <f t="shared" si="8"/>
        <v>0</v>
      </c>
      <c r="M170" s="84"/>
    </row>
    <row r="171" spans="1:13" ht="47.25">
      <c r="A171" s="45" t="s">
        <v>453</v>
      </c>
      <c r="B171" s="42" t="s">
        <v>73</v>
      </c>
      <c r="C171" s="27" t="s">
        <v>165</v>
      </c>
      <c r="D171" s="42" t="s">
        <v>8</v>
      </c>
      <c r="E171" s="43">
        <v>5</v>
      </c>
      <c r="F171" s="42"/>
      <c r="G171" s="43">
        <v>5</v>
      </c>
      <c r="H171" s="43">
        <v>5</v>
      </c>
      <c r="I171" s="43">
        <v>5</v>
      </c>
      <c r="J171" s="84"/>
      <c r="K171" s="84">
        <f t="shared" si="9"/>
        <v>0</v>
      </c>
      <c r="L171" s="84">
        <f t="shared" si="8"/>
        <v>0</v>
      </c>
      <c r="M171" s="84"/>
    </row>
    <row r="172" spans="1:13" ht="79.5" customHeight="1">
      <c r="A172" s="45" t="s">
        <v>245</v>
      </c>
      <c r="B172" s="42" t="s">
        <v>73</v>
      </c>
      <c r="C172" s="42" t="s">
        <v>166</v>
      </c>
      <c r="D172" s="21"/>
      <c r="E172" s="20">
        <f>E173+E174</f>
        <v>892.9</v>
      </c>
      <c r="F172" s="20">
        <f>F173+F174</f>
        <v>0</v>
      </c>
      <c r="G172" s="20">
        <f>G173+G174</f>
        <v>892.9</v>
      </c>
      <c r="H172" s="20">
        <f>H173+H174</f>
        <v>921.5</v>
      </c>
      <c r="I172" s="20">
        <f>I173+I174</f>
        <v>957.5999999999999</v>
      </c>
      <c r="J172" s="84"/>
      <c r="K172" s="84">
        <f t="shared" si="9"/>
        <v>0</v>
      </c>
      <c r="L172" s="84">
        <f t="shared" si="8"/>
        <v>0</v>
      </c>
      <c r="M172" s="84"/>
    </row>
    <row r="173" spans="1:13" ht="63">
      <c r="A173" s="45" t="s">
        <v>14</v>
      </c>
      <c r="B173" s="42" t="s">
        <v>73</v>
      </c>
      <c r="C173" s="42" t="s">
        <v>166</v>
      </c>
      <c r="D173" s="42" t="s">
        <v>15</v>
      </c>
      <c r="E173" s="43">
        <v>876.1</v>
      </c>
      <c r="F173" s="42"/>
      <c r="G173" s="43">
        <v>876.1</v>
      </c>
      <c r="H173" s="43">
        <v>904.6</v>
      </c>
      <c r="I173" s="43">
        <v>940.8</v>
      </c>
      <c r="J173" s="84"/>
      <c r="K173" s="84">
        <f t="shared" si="9"/>
        <v>0</v>
      </c>
      <c r="L173" s="84">
        <f t="shared" si="8"/>
        <v>0</v>
      </c>
      <c r="M173" s="84"/>
    </row>
    <row r="174" spans="1:13" ht="47.25">
      <c r="A174" s="45" t="s">
        <v>453</v>
      </c>
      <c r="B174" s="42" t="s">
        <v>73</v>
      </c>
      <c r="C174" s="42" t="s">
        <v>166</v>
      </c>
      <c r="D174" s="42" t="s">
        <v>8</v>
      </c>
      <c r="E174" s="43">
        <v>16.8</v>
      </c>
      <c r="F174" s="42"/>
      <c r="G174" s="43">
        <v>16.8</v>
      </c>
      <c r="H174" s="43">
        <v>16.9</v>
      </c>
      <c r="I174" s="43">
        <v>16.8</v>
      </c>
      <c r="J174" s="84"/>
      <c r="K174" s="84">
        <f t="shared" si="9"/>
        <v>0</v>
      </c>
      <c r="L174" s="84">
        <f t="shared" si="8"/>
        <v>0</v>
      </c>
      <c r="M174" s="84"/>
    </row>
    <row r="175" spans="1:13" ht="78.75">
      <c r="A175" s="45" t="s">
        <v>382</v>
      </c>
      <c r="B175" s="27" t="s">
        <v>73</v>
      </c>
      <c r="C175" s="27" t="s">
        <v>167</v>
      </c>
      <c r="D175" s="35"/>
      <c r="E175" s="37">
        <f>E176+E177</f>
        <v>82.9</v>
      </c>
      <c r="F175" s="37">
        <f>F176+F177</f>
        <v>0</v>
      </c>
      <c r="G175" s="37">
        <f>G176+G177</f>
        <v>82.9</v>
      </c>
      <c r="H175" s="43">
        <f>H176+H177</f>
        <v>85.4</v>
      </c>
      <c r="I175" s="43">
        <f>I176+I177</f>
        <v>88.7</v>
      </c>
      <c r="J175" s="84"/>
      <c r="K175" s="84">
        <f t="shared" si="9"/>
        <v>0</v>
      </c>
      <c r="L175" s="84">
        <f t="shared" si="8"/>
        <v>0</v>
      </c>
      <c r="M175" s="84"/>
    </row>
    <row r="176" spans="1:13" ht="63">
      <c r="A176" s="45" t="s">
        <v>14</v>
      </c>
      <c r="B176" s="42" t="s">
        <v>73</v>
      </c>
      <c r="C176" s="27" t="s">
        <v>167</v>
      </c>
      <c r="D176" s="42" t="s">
        <v>15</v>
      </c>
      <c r="E176" s="43">
        <v>77.9</v>
      </c>
      <c r="F176" s="42"/>
      <c r="G176" s="43">
        <v>77.9</v>
      </c>
      <c r="H176" s="43">
        <v>80.4</v>
      </c>
      <c r="I176" s="43">
        <v>83.7</v>
      </c>
      <c r="J176" s="84"/>
      <c r="K176" s="84">
        <f t="shared" si="9"/>
        <v>0</v>
      </c>
      <c r="L176" s="84">
        <f t="shared" si="8"/>
        <v>0</v>
      </c>
      <c r="M176" s="84"/>
    </row>
    <row r="177" spans="1:13" ht="47.25">
      <c r="A177" s="45" t="s">
        <v>453</v>
      </c>
      <c r="B177" s="42" t="s">
        <v>73</v>
      </c>
      <c r="C177" s="27" t="s">
        <v>167</v>
      </c>
      <c r="D177" s="42" t="s">
        <v>8</v>
      </c>
      <c r="E177" s="43">
        <v>5</v>
      </c>
      <c r="F177" s="42"/>
      <c r="G177" s="43">
        <v>5</v>
      </c>
      <c r="H177" s="43">
        <v>5</v>
      </c>
      <c r="I177" s="43">
        <v>5</v>
      </c>
      <c r="J177" s="84"/>
      <c r="K177" s="84">
        <f t="shared" si="9"/>
        <v>0</v>
      </c>
      <c r="L177" s="84">
        <f t="shared" si="8"/>
        <v>0</v>
      </c>
      <c r="M177" s="84"/>
    </row>
    <row r="178" spans="1:13" ht="31.5">
      <c r="A178" s="45" t="s">
        <v>47</v>
      </c>
      <c r="B178" s="42" t="s">
        <v>73</v>
      </c>
      <c r="C178" s="42" t="s">
        <v>159</v>
      </c>
      <c r="D178" s="42"/>
      <c r="E178" s="20">
        <f>E179+E180</f>
        <v>2014</v>
      </c>
      <c r="F178" s="20">
        <f>F179+F180</f>
        <v>200</v>
      </c>
      <c r="G178" s="20">
        <f>G179+G180</f>
        <v>2214</v>
      </c>
      <c r="H178" s="20">
        <f>H179+H180</f>
        <v>1100</v>
      </c>
      <c r="I178" s="20">
        <f>I179+I180</f>
        <v>1685</v>
      </c>
      <c r="J178" s="84"/>
      <c r="K178" s="84">
        <f t="shared" si="9"/>
        <v>200</v>
      </c>
      <c r="L178" s="84">
        <f t="shared" si="8"/>
        <v>0</v>
      </c>
      <c r="M178" s="84"/>
    </row>
    <row r="179" spans="1:13" ht="47.25">
      <c r="A179" s="45" t="s">
        <v>453</v>
      </c>
      <c r="B179" s="42" t="s">
        <v>73</v>
      </c>
      <c r="C179" s="42" t="s">
        <v>159</v>
      </c>
      <c r="D179" s="42" t="s">
        <v>8</v>
      </c>
      <c r="E179" s="20">
        <v>1814</v>
      </c>
      <c r="F179" s="159">
        <v>200</v>
      </c>
      <c r="G179" s="20">
        <f>E179+F179</f>
        <v>2014</v>
      </c>
      <c r="H179" s="20">
        <f>1485-585</f>
        <v>900</v>
      </c>
      <c r="I179" s="20">
        <v>1485</v>
      </c>
      <c r="J179" s="84"/>
      <c r="K179" s="84">
        <f t="shared" si="9"/>
        <v>200</v>
      </c>
      <c r="L179" s="84">
        <f t="shared" si="8"/>
        <v>0</v>
      </c>
      <c r="M179" s="84"/>
    </row>
    <row r="180" spans="1:13" ht="15.75">
      <c r="A180" s="45" t="s">
        <v>9</v>
      </c>
      <c r="B180" s="42" t="s">
        <v>73</v>
      </c>
      <c r="C180" s="42" t="s">
        <v>159</v>
      </c>
      <c r="D180" s="42" t="s">
        <v>12</v>
      </c>
      <c r="E180" s="20">
        <v>200</v>
      </c>
      <c r="F180" s="42"/>
      <c r="G180" s="20">
        <v>200</v>
      </c>
      <c r="H180" s="20">
        <v>200</v>
      </c>
      <c r="I180" s="20">
        <v>200</v>
      </c>
      <c r="J180" s="84"/>
      <c r="K180" s="84">
        <f t="shared" si="9"/>
        <v>0</v>
      </c>
      <c r="L180" s="84">
        <f t="shared" si="8"/>
        <v>0</v>
      </c>
      <c r="M180" s="84"/>
    </row>
    <row r="181" spans="1:13" ht="31.5">
      <c r="A181" s="45" t="s">
        <v>256</v>
      </c>
      <c r="B181" s="42" t="s">
        <v>73</v>
      </c>
      <c r="C181" s="42" t="s">
        <v>254</v>
      </c>
      <c r="D181" s="42"/>
      <c r="E181" s="20">
        <f>E182</f>
        <v>2790</v>
      </c>
      <c r="F181" s="20">
        <f>F182</f>
        <v>0</v>
      </c>
      <c r="G181" s="20">
        <f>G182</f>
        <v>2790</v>
      </c>
      <c r="H181" s="20">
        <f>H182</f>
        <v>2790</v>
      </c>
      <c r="I181" s="20">
        <f>I182</f>
        <v>2790</v>
      </c>
      <c r="J181" s="84"/>
      <c r="K181" s="84">
        <f t="shared" si="9"/>
        <v>0</v>
      </c>
      <c r="L181" s="84">
        <f t="shared" si="8"/>
        <v>0</v>
      </c>
      <c r="M181" s="84"/>
    </row>
    <row r="182" spans="1:13" ht="31.5">
      <c r="A182" s="45" t="s">
        <v>10</v>
      </c>
      <c r="B182" s="42" t="s">
        <v>73</v>
      </c>
      <c r="C182" s="42" t="s">
        <v>254</v>
      </c>
      <c r="D182" s="42" t="s">
        <v>11</v>
      </c>
      <c r="E182" s="20">
        <v>2790</v>
      </c>
      <c r="F182" s="42"/>
      <c r="G182" s="20">
        <v>2790</v>
      </c>
      <c r="H182" s="20">
        <v>2790</v>
      </c>
      <c r="I182" s="20">
        <v>2790</v>
      </c>
      <c r="J182" s="84"/>
      <c r="K182" s="84">
        <f t="shared" si="9"/>
        <v>0</v>
      </c>
      <c r="L182" s="84">
        <f t="shared" si="8"/>
        <v>0</v>
      </c>
      <c r="M182" s="84"/>
    </row>
    <row r="183" spans="1:13" ht="15.75">
      <c r="A183" s="175" t="s">
        <v>68</v>
      </c>
      <c r="B183" s="78" t="s">
        <v>73</v>
      </c>
      <c r="C183" s="11" t="s">
        <v>160</v>
      </c>
      <c r="D183" s="11" t="s">
        <v>0</v>
      </c>
      <c r="E183" s="12">
        <f>E184+E188+E192+E190+E186+E194</f>
        <v>2899.4</v>
      </c>
      <c r="F183" s="12">
        <f>F184+F188+F192+F190+F186+F194</f>
        <v>0</v>
      </c>
      <c r="G183" s="12">
        <f>G184+G188+G192+G190+G186+G194</f>
        <v>2899.4</v>
      </c>
      <c r="H183" s="12">
        <f>H184+H188+H192+H190+H186+H194</f>
        <v>1758.4</v>
      </c>
      <c r="I183" s="12">
        <f>I184+I188+I192+I190+I186+I194</f>
        <v>1758.4</v>
      </c>
      <c r="J183" s="84"/>
      <c r="K183" s="84">
        <f t="shared" si="9"/>
        <v>0</v>
      </c>
      <c r="L183" s="84">
        <f t="shared" si="8"/>
        <v>0</v>
      </c>
      <c r="M183" s="84"/>
    </row>
    <row r="184" spans="1:13" ht="47.25">
      <c r="A184" s="45" t="s">
        <v>20</v>
      </c>
      <c r="B184" s="27" t="s">
        <v>73</v>
      </c>
      <c r="C184" s="15" t="s">
        <v>161</v>
      </c>
      <c r="D184" s="7"/>
      <c r="E184" s="8">
        <f>E185</f>
        <v>50</v>
      </c>
      <c r="F184" s="8">
        <f>F185</f>
        <v>0</v>
      </c>
      <c r="G184" s="8">
        <f>G185</f>
        <v>50</v>
      </c>
      <c r="H184" s="8">
        <f>H185</f>
        <v>50</v>
      </c>
      <c r="I184" s="8">
        <f>I185</f>
        <v>50</v>
      </c>
      <c r="J184" s="84"/>
      <c r="K184" s="84">
        <f t="shared" si="9"/>
        <v>0</v>
      </c>
      <c r="L184" s="84">
        <f t="shared" si="8"/>
        <v>0</v>
      </c>
      <c r="M184" s="84"/>
    </row>
    <row r="185" spans="1:13" ht="47.25">
      <c r="A185" s="45" t="s">
        <v>453</v>
      </c>
      <c r="B185" s="42" t="s">
        <v>73</v>
      </c>
      <c r="C185" s="15" t="s">
        <v>161</v>
      </c>
      <c r="D185" s="42" t="s">
        <v>8</v>
      </c>
      <c r="E185" s="20">
        <v>50</v>
      </c>
      <c r="F185" s="42"/>
      <c r="G185" s="20">
        <v>50</v>
      </c>
      <c r="H185" s="20">
        <v>50</v>
      </c>
      <c r="I185" s="20">
        <v>50</v>
      </c>
      <c r="J185" s="84"/>
      <c r="K185" s="84">
        <f t="shared" si="9"/>
        <v>0</v>
      </c>
      <c r="L185" s="84">
        <f t="shared" si="8"/>
        <v>0</v>
      </c>
      <c r="M185" s="84"/>
    </row>
    <row r="186" spans="1:13" ht="49.5" customHeight="1">
      <c r="A186" s="45" t="s">
        <v>213</v>
      </c>
      <c r="B186" s="27" t="s">
        <v>73</v>
      </c>
      <c r="C186" s="15" t="s">
        <v>214</v>
      </c>
      <c r="D186" s="7"/>
      <c r="E186" s="8">
        <f>E187</f>
        <v>110</v>
      </c>
      <c r="F186" s="8">
        <f>F187</f>
        <v>0</v>
      </c>
      <c r="G186" s="8">
        <f>G187</f>
        <v>110</v>
      </c>
      <c r="H186" s="8">
        <f>H187</f>
        <v>110</v>
      </c>
      <c r="I186" s="8">
        <f>I187</f>
        <v>110</v>
      </c>
      <c r="J186" s="84"/>
      <c r="K186" s="84">
        <f t="shared" si="9"/>
        <v>0</v>
      </c>
      <c r="L186" s="84">
        <f t="shared" si="8"/>
        <v>0</v>
      </c>
      <c r="M186" s="84"/>
    </row>
    <row r="187" spans="1:13" ht="47.25">
      <c r="A187" s="45" t="s">
        <v>453</v>
      </c>
      <c r="B187" s="42" t="s">
        <v>73</v>
      </c>
      <c r="C187" s="15" t="s">
        <v>214</v>
      </c>
      <c r="D187" s="42" t="s">
        <v>8</v>
      </c>
      <c r="E187" s="20">
        <v>110</v>
      </c>
      <c r="F187" s="42"/>
      <c r="G187" s="20">
        <v>110</v>
      </c>
      <c r="H187" s="20">
        <v>110</v>
      </c>
      <c r="I187" s="20">
        <v>110</v>
      </c>
      <c r="J187" s="84"/>
      <c r="K187" s="84">
        <f t="shared" si="9"/>
        <v>0</v>
      </c>
      <c r="L187" s="84">
        <f t="shared" si="8"/>
        <v>0</v>
      </c>
      <c r="M187" s="84"/>
    </row>
    <row r="188" spans="1:13" ht="63">
      <c r="A188" s="45" t="s">
        <v>21</v>
      </c>
      <c r="B188" s="42" t="s">
        <v>73</v>
      </c>
      <c r="C188" s="15" t="s">
        <v>162</v>
      </c>
      <c r="D188" s="21"/>
      <c r="E188" s="20">
        <f>E189</f>
        <v>2121</v>
      </c>
      <c r="F188" s="164">
        <f>F189</f>
        <v>0</v>
      </c>
      <c r="G188" s="20">
        <f>G189</f>
        <v>2121</v>
      </c>
      <c r="H188" s="20">
        <f>H189</f>
        <v>980</v>
      </c>
      <c r="I188" s="20">
        <f>I189</f>
        <v>980</v>
      </c>
      <c r="J188" s="84"/>
      <c r="K188" s="84">
        <f t="shared" si="9"/>
        <v>0</v>
      </c>
      <c r="L188" s="84">
        <f t="shared" si="8"/>
        <v>0</v>
      </c>
      <c r="M188" s="84"/>
    </row>
    <row r="189" spans="1:13" ht="47.25">
      <c r="A189" s="45" t="s">
        <v>453</v>
      </c>
      <c r="B189" s="42" t="s">
        <v>73</v>
      </c>
      <c r="C189" s="15" t="s">
        <v>162</v>
      </c>
      <c r="D189" s="42" t="s">
        <v>8</v>
      </c>
      <c r="E189" s="20">
        <v>2121</v>
      </c>
      <c r="F189" s="149"/>
      <c r="G189" s="20">
        <f>E189+F189</f>
        <v>2121</v>
      </c>
      <c r="H189" s="20">
        <v>980</v>
      </c>
      <c r="I189" s="20">
        <v>980</v>
      </c>
      <c r="J189" s="84"/>
      <c r="K189" s="84">
        <f t="shared" si="9"/>
        <v>0</v>
      </c>
      <c r="L189" s="84">
        <f t="shared" si="8"/>
        <v>0</v>
      </c>
      <c r="M189" s="84"/>
    </row>
    <row r="190" spans="1:13" ht="31.5">
      <c r="A190" s="45" t="s">
        <v>188</v>
      </c>
      <c r="B190" s="42" t="s">
        <v>73</v>
      </c>
      <c r="C190" s="15" t="s">
        <v>187</v>
      </c>
      <c r="D190" s="21"/>
      <c r="E190" s="20">
        <f>E191</f>
        <v>265</v>
      </c>
      <c r="F190" s="20">
        <f>F191</f>
        <v>0</v>
      </c>
      <c r="G190" s="20">
        <f>G191</f>
        <v>265</v>
      </c>
      <c r="H190" s="20">
        <f>H191</f>
        <v>265</v>
      </c>
      <c r="I190" s="20">
        <f>I191</f>
        <v>265</v>
      </c>
      <c r="J190" s="84"/>
      <c r="K190" s="84">
        <f t="shared" si="9"/>
        <v>0</v>
      </c>
      <c r="L190" s="84">
        <f t="shared" si="8"/>
        <v>0</v>
      </c>
      <c r="M190" s="84"/>
    </row>
    <row r="191" spans="1:13" ht="47.25">
      <c r="A191" s="45" t="s">
        <v>453</v>
      </c>
      <c r="B191" s="42" t="s">
        <v>73</v>
      </c>
      <c r="C191" s="15" t="s">
        <v>187</v>
      </c>
      <c r="D191" s="42" t="s">
        <v>8</v>
      </c>
      <c r="E191" s="20">
        <v>265</v>
      </c>
      <c r="F191" s="42"/>
      <c r="G191" s="20">
        <v>265</v>
      </c>
      <c r="H191" s="20">
        <v>265</v>
      </c>
      <c r="I191" s="20">
        <v>265</v>
      </c>
      <c r="J191" s="84"/>
      <c r="K191" s="84">
        <f t="shared" si="9"/>
        <v>0</v>
      </c>
      <c r="L191" s="84">
        <f t="shared" si="8"/>
        <v>0</v>
      </c>
      <c r="M191" s="84"/>
    </row>
    <row r="192" spans="1:13" ht="15.75">
      <c r="A192" s="45" t="s">
        <v>59</v>
      </c>
      <c r="B192" s="42" t="s">
        <v>73</v>
      </c>
      <c r="C192" s="15" t="s">
        <v>163</v>
      </c>
      <c r="D192" s="21"/>
      <c r="E192" s="20">
        <f>E193</f>
        <v>150</v>
      </c>
      <c r="F192" s="20">
        <f>F193</f>
        <v>0</v>
      </c>
      <c r="G192" s="20">
        <f>G193</f>
        <v>150</v>
      </c>
      <c r="H192" s="20">
        <f>H193</f>
        <v>150</v>
      </c>
      <c r="I192" s="20">
        <f>I193</f>
        <v>150</v>
      </c>
      <c r="J192" s="84"/>
      <c r="K192" s="84">
        <f t="shared" si="9"/>
        <v>0</v>
      </c>
      <c r="L192" s="84">
        <f t="shared" si="8"/>
        <v>0</v>
      </c>
      <c r="M192" s="84"/>
    </row>
    <row r="193" spans="1:13" ht="47.25">
      <c r="A193" s="45" t="s">
        <v>453</v>
      </c>
      <c r="B193" s="42" t="s">
        <v>73</v>
      </c>
      <c r="C193" s="15" t="s">
        <v>163</v>
      </c>
      <c r="D193" s="42" t="s">
        <v>8</v>
      </c>
      <c r="E193" s="20">
        <v>150</v>
      </c>
      <c r="F193" s="42"/>
      <c r="G193" s="20">
        <v>150</v>
      </c>
      <c r="H193" s="20">
        <v>150</v>
      </c>
      <c r="I193" s="20">
        <v>150</v>
      </c>
      <c r="J193" s="84"/>
      <c r="K193" s="84">
        <f t="shared" si="9"/>
        <v>0</v>
      </c>
      <c r="L193" s="84">
        <f t="shared" si="8"/>
        <v>0</v>
      </c>
      <c r="M193" s="84"/>
    </row>
    <row r="194" spans="1:13" ht="69.75" customHeight="1">
      <c r="A194" s="45" t="s">
        <v>277</v>
      </c>
      <c r="B194" s="42" t="s">
        <v>73</v>
      </c>
      <c r="C194" s="15" t="s">
        <v>278</v>
      </c>
      <c r="D194" s="42"/>
      <c r="E194" s="20">
        <f>E195</f>
        <v>203.4</v>
      </c>
      <c r="F194" s="20">
        <f>F195</f>
        <v>0</v>
      </c>
      <c r="G194" s="20">
        <f>G195</f>
        <v>203.4</v>
      </c>
      <c r="H194" s="20">
        <f>H195</f>
        <v>203.4</v>
      </c>
      <c r="I194" s="20">
        <f>I195</f>
        <v>203.4</v>
      </c>
      <c r="J194" s="84"/>
      <c r="K194" s="84">
        <f t="shared" si="9"/>
        <v>0</v>
      </c>
      <c r="L194" s="84">
        <f t="shared" si="8"/>
        <v>0</v>
      </c>
      <c r="M194" s="84"/>
    </row>
    <row r="195" spans="1:13" ht="47.25">
      <c r="A195" s="45" t="s">
        <v>453</v>
      </c>
      <c r="B195" s="42" t="s">
        <v>73</v>
      </c>
      <c r="C195" s="15" t="s">
        <v>278</v>
      </c>
      <c r="D195" s="42" t="s">
        <v>8</v>
      </c>
      <c r="E195" s="20">
        <f>199.3+4.1</f>
        <v>203.4</v>
      </c>
      <c r="F195" s="42"/>
      <c r="G195" s="20">
        <f>199.3+4.1</f>
        <v>203.4</v>
      </c>
      <c r="H195" s="20">
        <f>199.3+4.1</f>
        <v>203.4</v>
      </c>
      <c r="I195" s="20">
        <f>199.3+4.1</f>
        <v>203.4</v>
      </c>
      <c r="J195" s="84"/>
      <c r="K195" s="84">
        <f t="shared" si="9"/>
        <v>0</v>
      </c>
      <c r="L195" s="84">
        <f t="shared" si="8"/>
        <v>0</v>
      </c>
      <c r="M195" s="84"/>
    </row>
    <row r="196" spans="1:13" ht="31.5">
      <c r="A196" s="174" t="s">
        <v>310</v>
      </c>
      <c r="B196" s="72" t="s">
        <v>73</v>
      </c>
      <c r="C196" s="71" t="s">
        <v>128</v>
      </c>
      <c r="D196" s="71" t="s">
        <v>0</v>
      </c>
      <c r="E196" s="77">
        <f>E200+E207+E210+E197</f>
        <v>20347</v>
      </c>
      <c r="F196" s="77">
        <f>F200+F207+F210+F197</f>
        <v>300</v>
      </c>
      <c r="G196" s="77">
        <f>G200+G207+G210+G197</f>
        <v>20647</v>
      </c>
      <c r="H196" s="77">
        <f>H200+H207+H210+H197</f>
        <v>18644.6</v>
      </c>
      <c r="I196" s="77">
        <f>I200+I207+I210+I197</f>
        <v>18699.1</v>
      </c>
      <c r="J196" s="84"/>
      <c r="K196" s="84">
        <f t="shared" si="9"/>
        <v>300</v>
      </c>
      <c r="L196" s="84">
        <f t="shared" si="8"/>
        <v>0</v>
      </c>
      <c r="M196" s="84"/>
    </row>
    <row r="197" spans="1:13" ht="15.75">
      <c r="A197" s="175" t="s">
        <v>311</v>
      </c>
      <c r="B197" s="78" t="s">
        <v>73</v>
      </c>
      <c r="C197" s="11" t="s">
        <v>280</v>
      </c>
      <c r="D197" s="11" t="s">
        <v>0</v>
      </c>
      <c r="E197" s="12">
        <f aca="true" t="shared" si="10" ref="E197:I198">E198</f>
        <v>1100.3</v>
      </c>
      <c r="F197" s="12">
        <f t="shared" si="10"/>
        <v>0</v>
      </c>
      <c r="G197" s="12">
        <f t="shared" si="10"/>
        <v>1100.3</v>
      </c>
      <c r="H197" s="12">
        <f t="shared" si="10"/>
        <v>0</v>
      </c>
      <c r="I197" s="12">
        <f t="shared" si="10"/>
        <v>0</v>
      </c>
      <c r="J197" s="84"/>
      <c r="K197" s="84">
        <f t="shared" si="9"/>
        <v>0</v>
      </c>
      <c r="L197" s="84">
        <f t="shared" si="8"/>
        <v>0</v>
      </c>
      <c r="M197" s="84"/>
    </row>
    <row r="198" spans="1:13" ht="15.75">
      <c r="A198" s="45" t="s">
        <v>279</v>
      </c>
      <c r="B198" s="27" t="s">
        <v>73</v>
      </c>
      <c r="C198" s="35" t="s">
        <v>336</v>
      </c>
      <c r="D198" s="9"/>
      <c r="E198" s="20">
        <f t="shared" si="10"/>
        <v>1100.3</v>
      </c>
      <c r="F198" s="20">
        <f t="shared" si="10"/>
        <v>0</v>
      </c>
      <c r="G198" s="20">
        <f t="shared" si="10"/>
        <v>1100.3</v>
      </c>
      <c r="H198" s="20">
        <f t="shared" si="10"/>
        <v>0</v>
      </c>
      <c r="I198" s="20">
        <f t="shared" si="10"/>
        <v>0</v>
      </c>
      <c r="J198" s="84"/>
      <c r="K198" s="84">
        <f t="shared" si="9"/>
        <v>0</v>
      </c>
      <c r="L198" s="84">
        <f t="shared" si="8"/>
        <v>0</v>
      </c>
      <c r="M198" s="84"/>
    </row>
    <row r="199" spans="1:13" ht="47.25">
      <c r="A199" s="45" t="s">
        <v>453</v>
      </c>
      <c r="B199" s="42" t="s">
        <v>73</v>
      </c>
      <c r="C199" s="35" t="s">
        <v>336</v>
      </c>
      <c r="D199" s="42" t="s">
        <v>8</v>
      </c>
      <c r="E199" s="20">
        <v>1100.3</v>
      </c>
      <c r="F199" s="129"/>
      <c r="G199" s="20">
        <f>E199+F199</f>
        <v>1100.3</v>
      </c>
      <c r="H199" s="20">
        <v>0</v>
      </c>
      <c r="I199" s="20">
        <v>0</v>
      </c>
      <c r="J199" s="84"/>
      <c r="K199" s="84">
        <f t="shared" si="9"/>
        <v>0</v>
      </c>
      <c r="L199" s="84">
        <f t="shared" si="8"/>
        <v>0</v>
      </c>
      <c r="M199" s="84"/>
    </row>
    <row r="200" spans="1:13" ht="47.25">
      <c r="A200" s="175" t="s">
        <v>320</v>
      </c>
      <c r="B200" s="78" t="s">
        <v>73</v>
      </c>
      <c r="C200" s="11" t="s">
        <v>138</v>
      </c>
      <c r="D200" s="11" t="s">
        <v>0</v>
      </c>
      <c r="E200" s="12">
        <f>E201+E203</f>
        <v>18708</v>
      </c>
      <c r="F200" s="12">
        <f>F201+F203</f>
        <v>300</v>
      </c>
      <c r="G200" s="12">
        <f>G201+G203</f>
        <v>19008</v>
      </c>
      <c r="H200" s="12">
        <f>H201+H203</f>
        <v>17885.899999999998</v>
      </c>
      <c r="I200" s="12">
        <f>I201+I203</f>
        <v>17940.399999999998</v>
      </c>
      <c r="J200" s="84"/>
      <c r="K200" s="84">
        <f t="shared" si="9"/>
        <v>300</v>
      </c>
      <c r="L200" s="84">
        <f t="shared" si="8"/>
        <v>0</v>
      </c>
      <c r="M200" s="84"/>
    </row>
    <row r="201" spans="1:13" ht="15.75">
      <c r="A201" s="45" t="s">
        <v>33</v>
      </c>
      <c r="B201" s="27" t="s">
        <v>73</v>
      </c>
      <c r="C201" s="35" t="s">
        <v>139</v>
      </c>
      <c r="D201" s="9"/>
      <c r="E201" s="20">
        <f>E202</f>
        <v>91.8</v>
      </c>
      <c r="F201" s="20">
        <f>F202</f>
        <v>0</v>
      </c>
      <c r="G201" s="20">
        <f>G202</f>
        <v>91.8</v>
      </c>
      <c r="H201" s="20">
        <f>H202</f>
        <v>91.8</v>
      </c>
      <c r="I201" s="20">
        <f>I202</f>
        <v>91.8</v>
      </c>
      <c r="J201" s="84"/>
      <c r="K201" s="84">
        <f t="shared" si="9"/>
        <v>0</v>
      </c>
      <c r="L201" s="84">
        <f t="shared" si="8"/>
        <v>0</v>
      </c>
      <c r="M201" s="84"/>
    </row>
    <row r="202" spans="1:13" ht="47.25">
      <c r="A202" s="45" t="s">
        <v>453</v>
      </c>
      <c r="B202" s="42" t="s">
        <v>73</v>
      </c>
      <c r="C202" s="35" t="s">
        <v>139</v>
      </c>
      <c r="D202" s="42" t="s">
        <v>8</v>
      </c>
      <c r="E202" s="20">
        <v>91.8</v>
      </c>
      <c r="F202" s="42"/>
      <c r="G202" s="20">
        <v>91.8</v>
      </c>
      <c r="H202" s="20">
        <v>91.8</v>
      </c>
      <c r="I202" s="20">
        <v>91.8</v>
      </c>
      <c r="J202" s="84"/>
      <c r="K202" s="84">
        <f t="shared" si="9"/>
        <v>0</v>
      </c>
      <c r="L202" s="84">
        <f t="shared" si="8"/>
        <v>0</v>
      </c>
      <c r="M202" s="84"/>
    </row>
    <row r="203" spans="1:13" ht="15.75">
      <c r="A203" s="45" t="s">
        <v>61</v>
      </c>
      <c r="B203" s="42" t="s">
        <v>73</v>
      </c>
      <c r="C203" s="35" t="s">
        <v>337</v>
      </c>
      <c r="D203" s="42"/>
      <c r="E203" s="43">
        <f>E204+E205+E206</f>
        <v>18616.2</v>
      </c>
      <c r="F203" s="43">
        <f>F204+F205+F206</f>
        <v>300</v>
      </c>
      <c r="G203" s="43">
        <f>G204+G205+G206</f>
        <v>18916.2</v>
      </c>
      <c r="H203" s="43">
        <f>H204+H205+H206</f>
        <v>17794.1</v>
      </c>
      <c r="I203" s="43">
        <f>I204+I205+I206</f>
        <v>17848.6</v>
      </c>
      <c r="J203" s="84"/>
      <c r="K203" s="84">
        <f t="shared" si="9"/>
        <v>300</v>
      </c>
      <c r="L203" s="84">
        <f t="shared" si="8"/>
        <v>0</v>
      </c>
      <c r="M203" s="84"/>
    </row>
    <row r="204" spans="1:13" ht="63">
      <c r="A204" s="45" t="s">
        <v>14</v>
      </c>
      <c r="B204" s="42" t="s">
        <v>73</v>
      </c>
      <c r="C204" s="35" t="s">
        <v>337</v>
      </c>
      <c r="D204" s="42" t="s">
        <v>15</v>
      </c>
      <c r="E204" s="36">
        <v>16736.5</v>
      </c>
      <c r="F204" s="42"/>
      <c r="G204" s="36">
        <v>16736.5</v>
      </c>
      <c r="H204" s="36">
        <v>16720.1</v>
      </c>
      <c r="I204" s="36">
        <v>16720.1</v>
      </c>
      <c r="J204" s="84"/>
      <c r="K204" s="84">
        <f t="shared" si="9"/>
        <v>0</v>
      </c>
      <c r="L204" s="84">
        <f t="shared" si="8"/>
        <v>0</v>
      </c>
      <c r="M204" s="84"/>
    </row>
    <row r="205" spans="1:13" ht="47.25">
      <c r="A205" s="45" t="s">
        <v>453</v>
      </c>
      <c r="B205" s="42" t="s">
        <v>73</v>
      </c>
      <c r="C205" s="35" t="s">
        <v>337</v>
      </c>
      <c r="D205" s="42" t="s">
        <v>8</v>
      </c>
      <c r="E205" s="36">
        <v>1828.8</v>
      </c>
      <c r="F205" s="43">
        <v>300</v>
      </c>
      <c r="G205" s="36">
        <f>E205+F205</f>
        <v>2128.8</v>
      </c>
      <c r="H205" s="36">
        <v>1038.1</v>
      </c>
      <c r="I205" s="36">
        <v>1092.6</v>
      </c>
      <c r="J205" s="84"/>
      <c r="K205" s="84">
        <f t="shared" si="9"/>
        <v>300.0000000000002</v>
      </c>
      <c r="L205" s="84">
        <f t="shared" si="8"/>
        <v>0</v>
      </c>
      <c r="M205" s="84"/>
    </row>
    <row r="206" spans="1:13" ht="15.75">
      <c r="A206" s="45" t="s">
        <v>9</v>
      </c>
      <c r="B206" s="42" t="s">
        <v>73</v>
      </c>
      <c r="C206" s="35" t="s">
        <v>338</v>
      </c>
      <c r="D206" s="42" t="s">
        <v>12</v>
      </c>
      <c r="E206" s="36">
        <v>50.9</v>
      </c>
      <c r="F206" s="42"/>
      <c r="G206" s="36">
        <v>50.9</v>
      </c>
      <c r="H206" s="36">
        <v>35.9</v>
      </c>
      <c r="I206" s="36">
        <v>35.9</v>
      </c>
      <c r="J206" s="84"/>
      <c r="K206" s="84">
        <f t="shared" si="9"/>
        <v>0</v>
      </c>
      <c r="L206" s="84">
        <f t="shared" si="8"/>
        <v>0</v>
      </c>
      <c r="M206" s="84"/>
    </row>
    <row r="207" spans="1:13" ht="31.5">
      <c r="A207" s="175" t="s">
        <v>312</v>
      </c>
      <c r="B207" s="78" t="s">
        <v>73</v>
      </c>
      <c r="C207" s="11" t="s">
        <v>127</v>
      </c>
      <c r="D207" s="11"/>
      <c r="E207" s="12">
        <f aca="true" t="shared" si="11" ref="E207:I208">E208</f>
        <v>458.7</v>
      </c>
      <c r="F207" s="160">
        <f t="shared" si="11"/>
        <v>0</v>
      </c>
      <c r="G207" s="12">
        <f t="shared" si="11"/>
        <v>458.7</v>
      </c>
      <c r="H207" s="12">
        <f t="shared" si="11"/>
        <v>608.7</v>
      </c>
      <c r="I207" s="12">
        <f t="shared" si="11"/>
        <v>608.7</v>
      </c>
      <c r="J207" s="84"/>
      <c r="K207" s="84">
        <f t="shared" si="9"/>
        <v>0</v>
      </c>
      <c r="L207" s="84">
        <f t="shared" si="8"/>
        <v>0</v>
      </c>
      <c r="M207" s="84"/>
    </row>
    <row r="208" spans="1:13" ht="31.5">
      <c r="A208" s="45" t="s">
        <v>34</v>
      </c>
      <c r="B208" s="27" t="s">
        <v>73</v>
      </c>
      <c r="C208" s="35" t="s">
        <v>140</v>
      </c>
      <c r="D208" s="21"/>
      <c r="E208" s="43">
        <f t="shared" si="11"/>
        <v>458.7</v>
      </c>
      <c r="F208" s="47">
        <f t="shared" si="11"/>
        <v>0</v>
      </c>
      <c r="G208" s="43">
        <f t="shared" si="11"/>
        <v>458.7</v>
      </c>
      <c r="H208" s="43">
        <f t="shared" si="11"/>
        <v>608.7</v>
      </c>
      <c r="I208" s="43">
        <f t="shared" si="11"/>
        <v>608.7</v>
      </c>
      <c r="J208" s="84"/>
      <c r="K208" s="84">
        <f t="shared" si="9"/>
        <v>0</v>
      </c>
      <c r="L208" s="84">
        <f t="shared" si="8"/>
        <v>0</v>
      </c>
      <c r="M208" s="84"/>
    </row>
    <row r="209" spans="1:13" ht="47.25">
      <c r="A209" s="45" t="s">
        <v>453</v>
      </c>
      <c r="B209" s="42" t="s">
        <v>73</v>
      </c>
      <c r="C209" s="35" t="s">
        <v>140</v>
      </c>
      <c r="D209" s="21" t="s">
        <v>8</v>
      </c>
      <c r="E209" s="20">
        <v>458.7</v>
      </c>
      <c r="F209" s="163"/>
      <c r="G209" s="20">
        <f>E209+F209</f>
        <v>458.7</v>
      </c>
      <c r="H209" s="20">
        <v>608.7</v>
      </c>
      <c r="I209" s="20">
        <v>608.7</v>
      </c>
      <c r="J209" s="84"/>
      <c r="K209" s="84">
        <f t="shared" si="9"/>
        <v>0</v>
      </c>
      <c r="L209" s="84">
        <f aca="true" t="shared" si="12" ref="L209:L272">E209+F209-G209</f>
        <v>0</v>
      </c>
      <c r="M209" s="84"/>
    </row>
    <row r="210" spans="1:13" ht="31.5">
      <c r="A210" s="11" t="s">
        <v>88</v>
      </c>
      <c r="B210" s="78" t="s">
        <v>73</v>
      </c>
      <c r="C210" s="11" t="s">
        <v>141</v>
      </c>
      <c r="D210" s="11"/>
      <c r="E210" s="12">
        <f>E211+E213+E215</f>
        <v>80</v>
      </c>
      <c r="F210" s="12">
        <f>F211+F213+F215</f>
        <v>0</v>
      </c>
      <c r="G210" s="12">
        <f>G211+G213+G215</f>
        <v>80</v>
      </c>
      <c r="H210" s="12">
        <f>H211+H213+H215</f>
        <v>150</v>
      </c>
      <c r="I210" s="12">
        <f>I211+I213+I215</f>
        <v>150</v>
      </c>
      <c r="J210" s="84"/>
      <c r="K210" s="84">
        <f aca="true" t="shared" si="13" ref="K210:K274">G210-E210</f>
        <v>0</v>
      </c>
      <c r="L210" s="84">
        <f t="shared" si="12"/>
        <v>0</v>
      </c>
      <c r="M210" s="84"/>
    </row>
    <row r="211" spans="1:13" ht="78.75">
      <c r="A211" s="45" t="s">
        <v>376</v>
      </c>
      <c r="B211" s="42" t="s">
        <v>73</v>
      </c>
      <c r="C211" s="35" t="s">
        <v>142</v>
      </c>
      <c r="D211" s="21"/>
      <c r="E211" s="20">
        <f>E212</f>
        <v>40</v>
      </c>
      <c r="F211" s="20">
        <f>F212</f>
        <v>0</v>
      </c>
      <c r="G211" s="20">
        <f>G212</f>
        <v>40</v>
      </c>
      <c r="H211" s="20">
        <f>H212</f>
        <v>40</v>
      </c>
      <c r="I211" s="20">
        <f>I212</f>
        <v>40</v>
      </c>
      <c r="J211" s="84"/>
      <c r="K211" s="84">
        <f t="shared" si="13"/>
        <v>0</v>
      </c>
      <c r="L211" s="84">
        <f t="shared" si="12"/>
        <v>0</v>
      </c>
      <c r="M211" s="84"/>
    </row>
    <row r="212" spans="1:13" ht="47.25">
      <c r="A212" s="45" t="s">
        <v>453</v>
      </c>
      <c r="B212" s="42" t="s">
        <v>73</v>
      </c>
      <c r="C212" s="35" t="s">
        <v>142</v>
      </c>
      <c r="D212" s="21" t="s">
        <v>8</v>
      </c>
      <c r="E212" s="20">
        <v>40</v>
      </c>
      <c r="F212" s="21"/>
      <c r="G212" s="20">
        <v>40</v>
      </c>
      <c r="H212" s="20">
        <v>40</v>
      </c>
      <c r="I212" s="20">
        <v>40</v>
      </c>
      <c r="J212" s="84"/>
      <c r="K212" s="84">
        <f t="shared" si="13"/>
        <v>0</v>
      </c>
      <c r="L212" s="84">
        <f t="shared" si="12"/>
        <v>0</v>
      </c>
      <c r="M212" s="84"/>
    </row>
    <row r="213" spans="1:13" ht="63">
      <c r="A213" s="45" t="s">
        <v>375</v>
      </c>
      <c r="B213" s="42" t="s">
        <v>73</v>
      </c>
      <c r="C213" s="35" t="s">
        <v>143</v>
      </c>
      <c r="D213" s="21"/>
      <c r="E213" s="20">
        <f>E214</f>
        <v>0</v>
      </c>
      <c r="F213" s="20" t="str">
        <f>F214</f>
        <v>0</v>
      </c>
      <c r="G213" s="20">
        <f>G214</f>
        <v>0</v>
      </c>
      <c r="H213" s="20">
        <f>H214</f>
        <v>70</v>
      </c>
      <c r="I213" s="20">
        <f>I214</f>
        <v>70</v>
      </c>
      <c r="J213" s="84"/>
      <c r="K213" s="84">
        <f t="shared" si="13"/>
        <v>0</v>
      </c>
      <c r="L213" s="84">
        <f t="shared" si="12"/>
        <v>0</v>
      </c>
      <c r="M213" s="84"/>
    </row>
    <row r="214" spans="1:13" ht="47.25">
      <c r="A214" s="45" t="s">
        <v>453</v>
      </c>
      <c r="B214" s="42" t="s">
        <v>73</v>
      </c>
      <c r="C214" s="35" t="s">
        <v>143</v>
      </c>
      <c r="D214" s="21" t="s">
        <v>8</v>
      </c>
      <c r="E214" s="20">
        <v>0</v>
      </c>
      <c r="F214" s="165" t="s">
        <v>455</v>
      </c>
      <c r="G214" s="20">
        <f>E214+F214</f>
        <v>0</v>
      </c>
      <c r="H214" s="20">
        <v>70</v>
      </c>
      <c r="I214" s="20">
        <v>70</v>
      </c>
      <c r="J214" s="84"/>
      <c r="K214" s="84">
        <f t="shared" si="13"/>
        <v>0</v>
      </c>
      <c r="L214" s="84">
        <f t="shared" si="12"/>
        <v>0</v>
      </c>
      <c r="M214" s="84"/>
    </row>
    <row r="215" spans="1:13" ht="57.75" customHeight="1">
      <c r="A215" s="45" t="s">
        <v>90</v>
      </c>
      <c r="B215" s="42" t="s">
        <v>73</v>
      </c>
      <c r="C215" s="35" t="s">
        <v>144</v>
      </c>
      <c r="D215" s="21"/>
      <c r="E215" s="20">
        <f>E216</f>
        <v>40</v>
      </c>
      <c r="F215" s="20">
        <f>F216</f>
        <v>0</v>
      </c>
      <c r="G215" s="20">
        <f>G216</f>
        <v>40</v>
      </c>
      <c r="H215" s="20">
        <f>H216</f>
        <v>40</v>
      </c>
      <c r="I215" s="20">
        <f>I216</f>
        <v>40</v>
      </c>
      <c r="J215" s="84"/>
      <c r="K215" s="84">
        <f t="shared" si="13"/>
        <v>0</v>
      </c>
      <c r="L215" s="84">
        <f t="shared" si="12"/>
        <v>0</v>
      </c>
      <c r="M215" s="84"/>
    </row>
    <row r="216" spans="1:13" ht="47.25">
      <c r="A216" s="45" t="s">
        <v>453</v>
      </c>
      <c r="B216" s="42" t="s">
        <v>73</v>
      </c>
      <c r="C216" s="35" t="s">
        <v>144</v>
      </c>
      <c r="D216" s="21" t="s">
        <v>8</v>
      </c>
      <c r="E216" s="20">
        <v>40</v>
      </c>
      <c r="F216" s="21"/>
      <c r="G216" s="20">
        <v>40</v>
      </c>
      <c r="H216" s="20">
        <v>40</v>
      </c>
      <c r="I216" s="20">
        <v>40</v>
      </c>
      <c r="J216" s="84"/>
      <c r="K216" s="84">
        <f t="shared" si="13"/>
        <v>0</v>
      </c>
      <c r="L216" s="84">
        <f t="shared" si="12"/>
        <v>0</v>
      </c>
      <c r="M216" s="84"/>
    </row>
    <row r="217" spans="1:13" ht="15.75">
      <c r="A217" s="174" t="s">
        <v>313</v>
      </c>
      <c r="B217" s="72" t="s">
        <v>73</v>
      </c>
      <c r="C217" s="71" t="s">
        <v>168</v>
      </c>
      <c r="D217" s="71" t="s">
        <v>0</v>
      </c>
      <c r="E217" s="77">
        <f>E218+E221+E232</f>
        <v>28062.7</v>
      </c>
      <c r="F217" s="77">
        <f>F218+F221+F232</f>
        <v>0</v>
      </c>
      <c r="G217" s="77">
        <f>G218+G221+G232</f>
        <v>28062.7</v>
      </c>
      <c r="H217" s="77">
        <f>H218+H221+H232</f>
        <v>19909</v>
      </c>
      <c r="I217" s="77">
        <f>I218+I221+I232</f>
        <v>19909</v>
      </c>
      <c r="J217" s="84"/>
      <c r="K217" s="84">
        <f t="shared" si="13"/>
        <v>0</v>
      </c>
      <c r="L217" s="84">
        <f t="shared" si="12"/>
        <v>0</v>
      </c>
      <c r="M217" s="84"/>
    </row>
    <row r="218" spans="1:13" ht="15.75">
      <c r="A218" s="175" t="s">
        <v>314</v>
      </c>
      <c r="B218" s="78" t="s">
        <v>73</v>
      </c>
      <c r="C218" s="11" t="s">
        <v>169</v>
      </c>
      <c r="D218" s="11" t="s">
        <v>0</v>
      </c>
      <c r="E218" s="12">
        <f aca="true" t="shared" si="14" ref="E218:I219">E219</f>
        <v>120</v>
      </c>
      <c r="F218" s="12">
        <f t="shared" si="14"/>
        <v>0</v>
      </c>
      <c r="G218" s="12">
        <f t="shared" si="14"/>
        <v>120</v>
      </c>
      <c r="H218" s="12">
        <f t="shared" si="14"/>
        <v>120</v>
      </c>
      <c r="I218" s="12">
        <f>I219</f>
        <v>120</v>
      </c>
      <c r="J218" s="84"/>
      <c r="K218" s="84">
        <f t="shared" si="13"/>
        <v>0</v>
      </c>
      <c r="L218" s="84">
        <f t="shared" si="12"/>
        <v>0</v>
      </c>
      <c r="M218" s="84"/>
    </row>
    <row r="219" spans="1:13" ht="31.5">
      <c r="A219" s="45" t="s">
        <v>54</v>
      </c>
      <c r="B219" s="42" t="s">
        <v>73</v>
      </c>
      <c r="C219" s="15" t="s">
        <v>328</v>
      </c>
      <c r="D219" s="42"/>
      <c r="E219" s="43">
        <f t="shared" si="14"/>
        <v>120</v>
      </c>
      <c r="F219" s="43">
        <f t="shared" si="14"/>
        <v>0</v>
      </c>
      <c r="G219" s="43">
        <f t="shared" si="14"/>
        <v>120</v>
      </c>
      <c r="H219" s="43">
        <f t="shared" si="14"/>
        <v>120</v>
      </c>
      <c r="I219" s="43">
        <f t="shared" si="14"/>
        <v>120</v>
      </c>
      <c r="J219" s="84"/>
      <c r="K219" s="84">
        <f t="shared" si="13"/>
        <v>0</v>
      </c>
      <c r="L219" s="84">
        <f t="shared" si="12"/>
        <v>0</v>
      </c>
      <c r="M219" s="84"/>
    </row>
    <row r="220" spans="1:13" ht="63">
      <c r="A220" s="45" t="s">
        <v>14</v>
      </c>
      <c r="B220" s="42" t="s">
        <v>73</v>
      </c>
      <c r="C220" s="15" t="s">
        <v>328</v>
      </c>
      <c r="D220" s="42" t="s">
        <v>15</v>
      </c>
      <c r="E220" s="43">
        <v>120</v>
      </c>
      <c r="F220" s="42"/>
      <c r="G220" s="43">
        <v>120</v>
      </c>
      <c r="H220" s="43">
        <v>120</v>
      </c>
      <c r="I220" s="43">
        <v>120</v>
      </c>
      <c r="J220" s="84"/>
      <c r="K220" s="84">
        <f t="shared" si="13"/>
        <v>0</v>
      </c>
      <c r="L220" s="84">
        <f t="shared" si="12"/>
        <v>0</v>
      </c>
      <c r="M220" s="84"/>
    </row>
    <row r="221" spans="1:13" ht="47.25">
      <c r="A221" s="175" t="s">
        <v>315</v>
      </c>
      <c r="B221" s="78" t="s">
        <v>73</v>
      </c>
      <c r="C221" s="11" t="s">
        <v>129</v>
      </c>
      <c r="D221" s="11" t="s">
        <v>0</v>
      </c>
      <c r="E221" s="12">
        <f>E228+E222+E230+E226+E224</f>
        <v>27762.7</v>
      </c>
      <c r="F221" s="12">
        <f>F228+F222+F230+F226+F224</f>
        <v>0</v>
      </c>
      <c r="G221" s="12">
        <f>G228+G222+G230+G226+G224</f>
        <v>27762.7</v>
      </c>
      <c r="H221" s="12">
        <f>H228+H222+H230+H226+H224</f>
        <v>19689</v>
      </c>
      <c r="I221" s="12">
        <f>I228+I222+I230+I226+I224</f>
        <v>19689</v>
      </c>
      <c r="J221" s="84"/>
      <c r="K221" s="84">
        <f t="shared" si="13"/>
        <v>0</v>
      </c>
      <c r="L221" s="84">
        <f t="shared" si="12"/>
        <v>0</v>
      </c>
      <c r="M221" s="84"/>
    </row>
    <row r="222" spans="1:13" ht="101.25" customHeight="1">
      <c r="A222" s="45" t="s">
        <v>64</v>
      </c>
      <c r="B222" s="27" t="s">
        <v>73</v>
      </c>
      <c r="C222" s="93" t="s">
        <v>201</v>
      </c>
      <c r="D222" s="92"/>
      <c r="E222" s="90">
        <f>E223</f>
        <v>4926.1</v>
      </c>
      <c r="F222" s="90">
        <f>F223</f>
        <v>0</v>
      </c>
      <c r="G222" s="90">
        <f>G223</f>
        <v>4926.1</v>
      </c>
      <c r="H222" s="90">
        <f>H223</f>
        <v>16351</v>
      </c>
      <c r="I222" s="90">
        <f>I223</f>
        <v>16351</v>
      </c>
      <c r="J222" s="84"/>
      <c r="K222" s="84">
        <f t="shared" si="13"/>
        <v>0</v>
      </c>
      <c r="L222" s="84">
        <f t="shared" si="12"/>
        <v>0</v>
      </c>
      <c r="M222" s="84"/>
    </row>
    <row r="223" spans="1:13" ht="31.5">
      <c r="A223" s="45" t="s">
        <v>29</v>
      </c>
      <c r="B223" s="27" t="s">
        <v>73</v>
      </c>
      <c r="C223" s="92" t="s">
        <v>201</v>
      </c>
      <c r="D223" s="92" t="s">
        <v>24</v>
      </c>
      <c r="E223" s="90">
        <v>4926.1</v>
      </c>
      <c r="F223" s="90">
        <v>0</v>
      </c>
      <c r="G223" s="90">
        <v>4926.1</v>
      </c>
      <c r="H223" s="90">
        <f>18167.8-1816.8</f>
        <v>16351</v>
      </c>
      <c r="I223" s="90">
        <f>18167.8-1816.8</f>
        <v>16351</v>
      </c>
      <c r="J223" s="84"/>
      <c r="K223" s="84">
        <f t="shared" si="13"/>
        <v>0</v>
      </c>
      <c r="L223" s="84">
        <f t="shared" si="12"/>
        <v>0</v>
      </c>
      <c r="M223" s="84"/>
    </row>
    <row r="224" spans="1:13" ht="126">
      <c r="A224" s="45" t="s">
        <v>64</v>
      </c>
      <c r="B224" s="27" t="s">
        <v>73</v>
      </c>
      <c r="C224" s="15" t="s">
        <v>383</v>
      </c>
      <c r="D224" s="92"/>
      <c r="E224" s="90">
        <f>E225</f>
        <v>13241.7</v>
      </c>
      <c r="F224" s="90">
        <f>F225</f>
        <v>0</v>
      </c>
      <c r="G224" s="90">
        <f>G225</f>
        <v>13241.7</v>
      </c>
      <c r="H224" s="90">
        <f>H225</f>
        <v>0</v>
      </c>
      <c r="I224" s="90">
        <f>I225</f>
        <v>0</v>
      </c>
      <c r="J224" s="84"/>
      <c r="K224" s="84">
        <f t="shared" si="13"/>
        <v>0</v>
      </c>
      <c r="L224" s="84">
        <f t="shared" si="12"/>
        <v>0</v>
      </c>
      <c r="M224" s="84"/>
    </row>
    <row r="225" spans="1:13" ht="31.5">
      <c r="A225" s="45" t="s">
        <v>29</v>
      </c>
      <c r="B225" s="27" t="s">
        <v>73</v>
      </c>
      <c r="C225" s="15" t="s">
        <v>383</v>
      </c>
      <c r="D225" s="92" t="s">
        <v>24</v>
      </c>
      <c r="E225" s="90">
        <v>13241.7</v>
      </c>
      <c r="F225" s="92"/>
      <c r="G225" s="90">
        <v>13241.7</v>
      </c>
      <c r="H225" s="90">
        <v>0</v>
      </c>
      <c r="I225" s="90">
        <v>0</v>
      </c>
      <c r="J225" s="84"/>
      <c r="K225" s="84">
        <f t="shared" si="13"/>
        <v>0</v>
      </c>
      <c r="L225" s="84">
        <f t="shared" si="12"/>
        <v>0</v>
      </c>
      <c r="M225" s="84"/>
    </row>
    <row r="226" spans="1:13" ht="47.25">
      <c r="A226" s="45" t="s">
        <v>226</v>
      </c>
      <c r="B226" s="42" t="s">
        <v>73</v>
      </c>
      <c r="C226" s="15" t="s">
        <v>252</v>
      </c>
      <c r="D226" s="42"/>
      <c r="E226" s="43">
        <f>E227</f>
        <v>1669</v>
      </c>
      <c r="F226" s="43">
        <f>F227</f>
        <v>0</v>
      </c>
      <c r="G226" s="43">
        <f>G227</f>
        <v>1669</v>
      </c>
      <c r="H226" s="43">
        <f>H227</f>
        <v>1669</v>
      </c>
      <c r="I226" s="43">
        <f>I227</f>
        <v>1669</v>
      </c>
      <c r="J226" s="84"/>
      <c r="K226" s="84">
        <f t="shared" si="13"/>
        <v>0</v>
      </c>
      <c r="L226" s="84">
        <f t="shared" si="12"/>
        <v>0</v>
      </c>
      <c r="M226" s="84"/>
    </row>
    <row r="227" spans="1:13" ht="15.75">
      <c r="A227" s="45" t="s">
        <v>27</v>
      </c>
      <c r="B227" s="42" t="s">
        <v>73</v>
      </c>
      <c r="C227" s="15" t="s">
        <v>252</v>
      </c>
      <c r="D227" s="42" t="s">
        <v>16</v>
      </c>
      <c r="E227" s="43">
        <v>1669</v>
      </c>
      <c r="F227" s="42"/>
      <c r="G227" s="43">
        <f>E227+F227</f>
        <v>1669</v>
      </c>
      <c r="H227" s="43">
        <v>1669</v>
      </c>
      <c r="I227" s="43">
        <v>1669</v>
      </c>
      <c r="J227" s="84"/>
      <c r="K227" s="84">
        <f t="shared" si="13"/>
        <v>0</v>
      </c>
      <c r="L227" s="84">
        <f t="shared" si="12"/>
        <v>0</v>
      </c>
      <c r="M227" s="84"/>
    </row>
    <row r="228" spans="1:13" ht="46.5" customHeight="1">
      <c r="A228" s="45" t="s">
        <v>225</v>
      </c>
      <c r="B228" s="42" t="s">
        <v>73</v>
      </c>
      <c r="C228" s="15" t="s">
        <v>251</v>
      </c>
      <c r="D228" s="42"/>
      <c r="E228" s="43">
        <f>E229</f>
        <v>1669</v>
      </c>
      <c r="F228" s="43">
        <f>F229</f>
        <v>0</v>
      </c>
      <c r="G228" s="43">
        <f>G229</f>
        <v>1669</v>
      </c>
      <c r="H228" s="43">
        <f>H229</f>
        <v>1669</v>
      </c>
      <c r="I228" s="43">
        <f>I229</f>
        <v>1669</v>
      </c>
      <c r="J228" s="84"/>
      <c r="K228" s="84">
        <f t="shared" si="13"/>
        <v>0</v>
      </c>
      <c r="L228" s="84">
        <f t="shared" si="12"/>
        <v>0</v>
      </c>
      <c r="M228" s="84"/>
    </row>
    <row r="229" spans="1:13" ht="15.75">
      <c r="A229" s="45" t="s">
        <v>27</v>
      </c>
      <c r="B229" s="42" t="s">
        <v>73</v>
      </c>
      <c r="C229" s="15" t="s">
        <v>251</v>
      </c>
      <c r="D229" s="42" t="s">
        <v>16</v>
      </c>
      <c r="E229" s="43">
        <v>1669</v>
      </c>
      <c r="F229" s="42"/>
      <c r="G229" s="43">
        <f>E229+F229</f>
        <v>1669</v>
      </c>
      <c r="H229" s="43">
        <v>1669</v>
      </c>
      <c r="I229" s="43">
        <v>1669</v>
      </c>
      <c r="J229" s="84"/>
      <c r="K229" s="84">
        <f t="shared" si="13"/>
        <v>0</v>
      </c>
      <c r="L229" s="84">
        <f t="shared" si="12"/>
        <v>0</v>
      </c>
      <c r="M229" s="84"/>
    </row>
    <row r="230" spans="1:13" ht="51" customHeight="1">
      <c r="A230" s="45" t="s">
        <v>243</v>
      </c>
      <c r="B230" s="42" t="s">
        <v>73</v>
      </c>
      <c r="C230" s="15" t="s">
        <v>221</v>
      </c>
      <c r="D230" s="42"/>
      <c r="E230" s="43">
        <f>E231</f>
        <v>6256.9</v>
      </c>
      <c r="F230" s="43">
        <f>F231</f>
        <v>0</v>
      </c>
      <c r="G230" s="43">
        <f>G231</f>
        <v>6256.9</v>
      </c>
      <c r="H230" s="43">
        <f>H231</f>
        <v>0</v>
      </c>
      <c r="I230" s="43">
        <f>I231</f>
        <v>0</v>
      </c>
      <c r="J230" s="84"/>
      <c r="K230" s="84">
        <f t="shared" si="13"/>
        <v>0</v>
      </c>
      <c r="L230" s="84">
        <f t="shared" si="12"/>
        <v>0</v>
      </c>
      <c r="M230" s="84"/>
    </row>
    <row r="231" spans="1:13" ht="15.75">
      <c r="A231" s="45" t="s">
        <v>27</v>
      </c>
      <c r="B231" s="42" t="s">
        <v>73</v>
      </c>
      <c r="C231" s="15" t="s">
        <v>221</v>
      </c>
      <c r="D231" s="42" t="s">
        <v>16</v>
      </c>
      <c r="E231" s="43">
        <v>6256.9</v>
      </c>
      <c r="F231" s="157"/>
      <c r="G231" s="43">
        <f>E231+F231</f>
        <v>6256.9</v>
      </c>
      <c r="H231" s="43">
        <v>0</v>
      </c>
      <c r="I231" s="43">
        <v>0</v>
      </c>
      <c r="J231" s="84"/>
      <c r="K231" s="84">
        <f t="shared" si="13"/>
        <v>0</v>
      </c>
      <c r="L231" s="84">
        <f t="shared" si="12"/>
        <v>0</v>
      </c>
      <c r="M231" s="84"/>
    </row>
    <row r="232" spans="1:13" ht="31.5">
      <c r="A232" s="175" t="s">
        <v>316</v>
      </c>
      <c r="B232" s="78" t="s">
        <v>73</v>
      </c>
      <c r="C232" s="11" t="s">
        <v>171</v>
      </c>
      <c r="D232" s="11" t="s">
        <v>0</v>
      </c>
      <c r="E232" s="12">
        <f>E233+E235</f>
        <v>180</v>
      </c>
      <c r="F232" s="12">
        <f>F233+F235</f>
        <v>0</v>
      </c>
      <c r="G232" s="12">
        <f>G233+G235</f>
        <v>180</v>
      </c>
      <c r="H232" s="12">
        <f>H233+H235</f>
        <v>100</v>
      </c>
      <c r="I232" s="12">
        <f>I233+I235</f>
        <v>100</v>
      </c>
      <c r="J232" s="84"/>
      <c r="K232" s="84">
        <f t="shared" si="13"/>
        <v>0</v>
      </c>
      <c r="L232" s="84">
        <f t="shared" si="12"/>
        <v>0</v>
      </c>
      <c r="M232" s="84"/>
    </row>
    <row r="233" spans="1:13" ht="47.25">
      <c r="A233" s="45" t="s">
        <v>36</v>
      </c>
      <c r="B233" s="27" t="s">
        <v>73</v>
      </c>
      <c r="C233" s="15" t="s">
        <v>172</v>
      </c>
      <c r="D233" s="15"/>
      <c r="E233" s="17">
        <f>E234</f>
        <v>80</v>
      </c>
      <c r="F233" s="17">
        <f>F234</f>
        <v>0</v>
      </c>
      <c r="G233" s="17">
        <f>G234</f>
        <v>80</v>
      </c>
      <c r="H233" s="17">
        <f>H234</f>
        <v>80</v>
      </c>
      <c r="I233" s="17">
        <f>I234</f>
        <v>80</v>
      </c>
      <c r="J233" s="84"/>
      <c r="K233" s="84">
        <f t="shared" si="13"/>
        <v>0</v>
      </c>
      <c r="L233" s="84">
        <f t="shared" si="12"/>
        <v>0</v>
      </c>
      <c r="M233" s="84"/>
    </row>
    <row r="234" spans="1:13" ht="31.5">
      <c r="A234" s="45" t="s">
        <v>10</v>
      </c>
      <c r="B234" s="42" t="s">
        <v>73</v>
      </c>
      <c r="C234" s="15" t="s">
        <v>172</v>
      </c>
      <c r="D234" s="42" t="s">
        <v>11</v>
      </c>
      <c r="E234" s="43">
        <v>80</v>
      </c>
      <c r="F234" s="134"/>
      <c r="G234" s="43">
        <v>80</v>
      </c>
      <c r="H234" s="43">
        <v>80</v>
      </c>
      <c r="I234" s="43">
        <v>80</v>
      </c>
      <c r="J234" s="84"/>
      <c r="K234" s="84">
        <f t="shared" si="13"/>
        <v>0</v>
      </c>
      <c r="L234" s="84">
        <f t="shared" si="12"/>
        <v>0</v>
      </c>
      <c r="M234" s="84"/>
    </row>
    <row r="235" spans="1:13" ht="47.25">
      <c r="A235" s="45" t="s">
        <v>200</v>
      </c>
      <c r="B235" s="42" t="s">
        <v>73</v>
      </c>
      <c r="C235" s="15" t="s">
        <v>195</v>
      </c>
      <c r="D235" s="15"/>
      <c r="E235" s="17">
        <f>E236</f>
        <v>100</v>
      </c>
      <c r="F235" s="162">
        <f>F236</f>
        <v>0</v>
      </c>
      <c r="G235" s="17">
        <f>G236</f>
        <v>100</v>
      </c>
      <c r="H235" s="17">
        <f>H236</f>
        <v>20</v>
      </c>
      <c r="I235" s="17">
        <f>I236</f>
        <v>20</v>
      </c>
      <c r="J235" s="84"/>
      <c r="K235" s="84">
        <f t="shared" si="13"/>
        <v>0</v>
      </c>
      <c r="L235" s="84">
        <f t="shared" si="12"/>
        <v>0</v>
      </c>
      <c r="M235" s="84"/>
    </row>
    <row r="236" spans="1:13" ht="31.5">
      <c r="A236" s="45" t="s">
        <v>10</v>
      </c>
      <c r="B236" s="42" t="s">
        <v>73</v>
      </c>
      <c r="C236" s="15" t="s">
        <v>195</v>
      </c>
      <c r="D236" s="42" t="s">
        <v>11</v>
      </c>
      <c r="E236" s="43">
        <v>100</v>
      </c>
      <c r="F236" s="149"/>
      <c r="G236" s="43">
        <f>E236+F236</f>
        <v>100</v>
      </c>
      <c r="H236" s="43">
        <v>20</v>
      </c>
      <c r="I236" s="43">
        <v>20</v>
      </c>
      <c r="J236" s="84"/>
      <c r="K236" s="84">
        <f t="shared" si="13"/>
        <v>0</v>
      </c>
      <c r="L236" s="84">
        <f t="shared" si="12"/>
        <v>0</v>
      </c>
      <c r="M236" s="84"/>
    </row>
    <row r="237" spans="1:13" ht="15.75">
      <c r="A237" s="70" t="s">
        <v>30</v>
      </c>
      <c r="B237" s="72" t="s">
        <v>73</v>
      </c>
      <c r="C237" s="72" t="s">
        <v>96</v>
      </c>
      <c r="D237" s="72" t="s">
        <v>0</v>
      </c>
      <c r="E237" s="171">
        <f>E267+E265+E261+E259+E263+E243+E245+E247+E249++E251+E253+E257+E240+E238+E255</f>
        <v>6732.700000000001</v>
      </c>
      <c r="F237" s="171">
        <f>F267+F265+F261+F259+F263+F243+F245+F247+F249++F251+F253+F257+F240+F238+F255</f>
        <v>75</v>
      </c>
      <c r="G237" s="171">
        <f>G267+G265+G261+G259+G263+G243+G245+G247+G249++G251+G253+G257+G240+G238+G255</f>
        <v>6807.700000000001</v>
      </c>
      <c r="H237" s="171">
        <f>H267+H265+H261+H259+H263+H243+H245+H247+H249++H251+H253+H257+H240+H238+H255</f>
        <v>101.3</v>
      </c>
      <c r="I237" s="171">
        <f>I267+I265+I261+I259+I263+I243+I245+I247+I249++I251+I253+I257+I240+I238+I255</f>
        <v>568.2</v>
      </c>
      <c r="J237" s="84"/>
      <c r="K237" s="84">
        <f t="shared" si="13"/>
        <v>75</v>
      </c>
      <c r="L237" s="84">
        <f t="shared" si="12"/>
        <v>0</v>
      </c>
      <c r="M237" s="84"/>
    </row>
    <row r="238" spans="1:13" ht="15.75">
      <c r="A238" s="45" t="s">
        <v>412</v>
      </c>
      <c r="B238" s="27" t="s">
        <v>73</v>
      </c>
      <c r="C238" s="42" t="s">
        <v>413</v>
      </c>
      <c r="D238" s="60"/>
      <c r="E238" s="43">
        <f>E239</f>
        <v>2699.5</v>
      </c>
      <c r="F238" s="43">
        <f>F239</f>
        <v>0</v>
      </c>
      <c r="G238" s="43">
        <f>G239</f>
        <v>2699.5</v>
      </c>
      <c r="H238" s="43">
        <f>H239</f>
        <v>0</v>
      </c>
      <c r="I238" s="43">
        <f>I239</f>
        <v>0</v>
      </c>
      <c r="J238" s="84"/>
      <c r="K238" s="84">
        <f t="shared" si="13"/>
        <v>0</v>
      </c>
      <c r="L238" s="84">
        <f t="shared" si="12"/>
        <v>0</v>
      </c>
      <c r="M238" s="84"/>
    </row>
    <row r="239" spans="1:13" ht="15.75">
      <c r="A239" s="45" t="s">
        <v>9</v>
      </c>
      <c r="B239" s="27" t="s">
        <v>73</v>
      </c>
      <c r="C239" s="42" t="s">
        <v>413</v>
      </c>
      <c r="D239" s="42" t="s">
        <v>12</v>
      </c>
      <c r="E239" s="43">
        <v>2699.5</v>
      </c>
      <c r="F239" s="37"/>
      <c r="G239" s="43">
        <f>E239+F239</f>
        <v>2699.5</v>
      </c>
      <c r="H239" s="43">
        <v>0</v>
      </c>
      <c r="I239" s="43">
        <v>0</v>
      </c>
      <c r="J239" s="84"/>
      <c r="K239" s="84">
        <f t="shared" si="13"/>
        <v>0</v>
      </c>
      <c r="L239" s="84">
        <f t="shared" si="12"/>
        <v>0</v>
      </c>
      <c r="M239" s="84"/>
    </row>
    <row r="240" spans="1:13" ht="31.5">
      <c r="A240" s="45" t="s">
        <v>60</v>
      </c>
      <c r="B240" s="27" t="s">
        <v>73</v>
      </c>
      <c r="C240" s="42" t="s">
        <v>103</v>
      </c>
      <c r="D240" s="60"/>
      <c r="E240" s="43">
        <f>E242+E241</f>
        <v>1053</v>
      </c>
      <c r="F240" s="43">
        <f>F242+F241</f>
        <v>75</v>
      </c>
      <c r="G240" s="43">
        <f>G242+G241</f>
        <v>1128</v>
      </c>
      <c r="H240" s="43">
        <f>H242+H241</f>
        <v>0</v>
      </c>
      <c r="I240" s="43">
        <f>I242+I241</f>
        <v>0</v>
      </c>
      <c r="J240" s="84"/>
      <c r="K240" s="84">
        <f t="shared" si="13"/>
        <v>75</v>
      </c>
      <c r="L240" s="84">
        <f t="shared" si="12"/>
        <v>0</v>
      </c>
      <c r="M240" s="84"/>
    </row>
    <row r="241" spans="1:13" ht="47.25">
      <c r="A241" s="45" t="s">
        <v>453</v>
      </c>
      <c r="B241" s="27" t="s">
        <v>73</v>
      </c>
      <c r="C241" s="42" t="s">
        <v>103</v>
      </c>
      <c r="D241" s="42" t="s">
        <v>8</v>
      </c>
      <c r="E241" s="43">
        <v>0</v>
      </c>
      <c r="F241" s="43">
        <v>75</v>
      </c>
      <c r="G241" s="43">
        <f>E241+F241</f>
        <v>75</v>
      </c>
      <c r="H241" s="43">
        <v>0</v>
      </c>
      <c r="I241" s="43">
        <v>0</v>
      </c>
      <c r="J241" s="84"/>
      <c r="K241" s="84"/>
      <c r="L241" s="84">
        <f t="shared" si="12"/>
        <v>0</v>
      </c>
      <c r="M241" s="84"/>
    </row>
    <row r="242" spans="1:13" ht="15.75">
      <c r="A242" s="45" t="s">
        <v>9</v>
      </c>
      <c r="B242" s="27" t="s">
        <v>73</v>
      </c>
      <c r="C242" s="42" t="s">
        <v>103</v>
      </c>
      <c r="D242" s="42" t="s">
        <v>12</v>
      </c>
      <c r="E242" s="43">
        <v>1053</v>
      </c>
      <c r="F242" s="37"/>
      <c r="G242" s="43">
        <f>E242+F242</f>
        <v>1053</v>
      </c>
      <c r="H242" s="43">
        <v>0</v>
      </c>
      <c r="I242" s="43">
        <v>0</v>
      </c>
      <c r="J242" s="84"/>
      <c r="K242" s="84">
        <f t="shared" si="13"/>
        <v>0</v>
      </c>
      <c r="L242" s="84">
        <f t="shared" si="12"/>
        <v>0</v>
      </c>
      <c r="M242" s="84"/>
    </row>
    <row r="243" spans="1:13" ht="157.5">
      <c r="A243" s="45" t="s">
        <v>400</v>
      </c>
      <c r="B243" s="42" t="s">
        <v>73</v>
      </c>
      <c r="C243" s="42" t="s">
        <v>401</v>
      </c>
      <c r="D243" s="42"/>
      <c r="E243" s="43">
        <f>E244</f>
        <v>19.3</v>
      </c>
      <c r="F243" s="37">
        <f>F244</f>
        <v>0</v>
      </c>
      <c r="G243" s="43">
        <f>G244</f>
        <v>19.3</v>
      </c>
      <c r="H243" s="43">
        <f>H244</f>
        <v>0</v>
      </c>
      <c r="I243" s="43">
        <f>I244</f>
        <v>0</v>
      </c>
      <c r="J243" s="84"/>
      <c r="K243" s="84">
        <f t="shared" si="13"/>
        <v>0</v>
      </c>
      <c r="L243" s="84">
        <f t="shared" si="12"/>
        <v>0</v>
      </c>
      <c r="M243" s="84"/>
    </row>
    <row r="244" spans="1:13" ht="47.25">
      <c r="A244" s="45" t="s">
        <v>453</v>
      </c>
      <c r="B244" s="42" t="s">
        <v>73</v>
      </c>
      <c r="C244" s="42" t="s">
        <v>401</v>
      </c>
      <c r="D244" s="42" t="s">
        <v>8</v>
      </c>
      <c r="E244" s="43">
        <v>19.3</v>
      </c>
      <c r="F244" s="138"/>
      <c r="G244" s="43">
        <f>E244+F244</f>
        <v>19.3</v>
      </c>
      <c r="H244" s="43">
        <v>0</v>
      </c>
      <c r="I244" s="43">
        <v>0</v>
      </c>
      <c r="J244" s="84"/>
      <c r="K244" s="84">
        <f t="shared" si="13"/>
        <v>0</v>
      </c>
      <c r="L244" s="84">
        <f t="shared" si="12"/>
        <v>0</v>
      </c>
      <c r="M244" s="84"/>
    </row>
    <row r="245" spans="1:13" ht="78.75">
      <c r="A245" s="45" t="s">
        <v>402</v>
      </c>
      <c r="B245" s="42" t="s">
        <v>73</v>
      </c>
      <c r="C245" s="42" t="s">
        <v>403</v>
      </c>
      <c r="D245" s="42"/>
      <c r="E245" s="43">
        <f>E246</f>
        <v>42.3</v>
      </c>
      <c r="F245" s="37">
        <f>F246</f>
        <v>0</v>
      </c>
      <c r="G245" s="43">
        <f>G246</f>
        <v>42.3</v>
      </c>
      <c r="H245" s="43">
        <f>H246</f>
        <v>0</v>
      </c>
      <c r="I245" s="43">
        <f>I246</f>
        <v>0</v>
      </c>
      <c r="J245" s="84"/>
      <c r="K245" s="84">
        <f t="shared" si="13"/>
        <v>0</v>
      </c>
      <c r="L245" s="84">
        <f t="shared" si="12"/>
        <v>0</v>
      </c>
      <c r="M245" s="84"/>
    </row>
    <row r="246" spans="1:13" ht="47.25">
      <c r="A246" s="45" t="s">
        <v>453</v>
      </c>
      <c r="B246" s="42" t="s">
        <v>73</v>
      </c>
      <c r="C246" s="42" t="s">
        <v>403</v>
      </c>
      <c r="D246" s="42" t="s">
        <v>8</v>
      </c>
      <c r="E246" s="43">
        <v>42.3</v>
      </c>
      <c r="F246" s="138"/>
      <c r="G246" s="43">
        <f>E246+F246</f>
        <v>42.3</v>
      </c>
      <c r="H246" s="43">
        <v>0</v>
      </c>
      <c r="I246" s="43">
        <v>0</v>
      </c>
      <c r="J246" s="84"/>
      <c r="K246" s="84">
        <f t="shared" si="13"/>
        <v>0</v>
      </c>
      <c r="L246" s="84">
        <f t="shared" si="12"/>
        <v>0</v>
      </c>
      <c r="M246" s="84"/>
    </row>
    <row r="247" spans="1:13" ht="78.75">
      <c r="A247" s="45" t="s">
        <v>404</v>
      </c>
      <c r="B247" s="42" t="s">
        <v>73</v>
      </c>
      <c r="C247" s="42" t="s">
        <v>405</v>
      </c>
      <c r="D247" s="21"/>
      <c r="E247" s="43">
        <f>E248</f>
        <v>38.6</v>
      </c>
      <c r="F247" s="37">
        <f>F248</f>
        <v>0</v>
      </c>
      <c r="G247" s="43">
        <f>G248</f>
        <v>38.6</v>
      </c>
      <c r="H247" s="43">
        <f>H248</f>
        <v>0</v>
      </c>
      <c r="I247" s="43">
        <f>I248</f>
        <v>0</v>
      </c>
      <c r="J247" s="84"/>
      <c r="K247" s="84">
        <f t="shared" si="13"/>
        <v>0</v>
      </c>
      <c r="L247" s="84">
        <f t="shared" si="12"/>
        <v>0</v>
      </c>
      <c r="M247" s="84"/>
    </row>
    <row r="248" spans="1:13" ht="47.25">
      <c r="A248" s="45" t="s">
        <v>453</v>
      </c>
      <c r="B248" s="42" t="s">
        <v>73</v>
      </c>
      <c r="C248" s="42" t="s">
        <v>405</v>
      </c>
      <c r="D248" s="21" t="s">
        <v>8</v>
      </c>
      <c r="E248" s="43">
        <v>38.6</v>
      </c>
      <c r="F248" s="138"/>
      <c r="G248" s="43">
        <f>E248+F248</f>
        <v>38.6</v>
      </c>
      <c r="H248" s="43">
        <v>0</v>
      </c>
      <c r="I248" s="43">
        <v>0</v>
      </c>
      <c r="J248" s="84"/>
      <c r="K248" s="84">
        <f t="shared" si="13"/>
        <v>0</v>
      </c>
      <c r="L248" s="84">
        <f t="shared" si="12"/>
        <v>0</v>
      </c>
      <c r="M248" s="84"/>
    </row>
    <row r="249" spans="1:13" ht="78.75">
      <c r="A249" s="45" t="s">
        <v>406</v>
      </c>
      <c r="B249" s="42" t="s">
        <v>73</v>
      </c>
      <c r="C249" s="42" t="s">
        <v>407</v>
      </c>
      <c r="D249" s="21"/>
      <c r="E249" s="43">
        <f>E250</f>
        <v>10.6</v>
      </c>
      <c r="F249" s="37">
        <f>F250</f>
        <v>0</v>
      </c>
      <c r="G249" s="43">
        <f>G250</f>
        <v>10.6</v>
      </c>
      <c r="H249" s="43">
        <f>H250</f>
        <v>0</v>
      </c>
      <c r="I249" s="43">
        <f>I250</f>
        <v>0</v>
      </c>
      <c r="J249" s="84"/>
      <c r="K249" s="84">
        <f t="shared" si="13"/>
        <v>0</v>
      </c>
      <c r="L249" s="84">
        <f t="shared" si="12"/>
        <v>0</v>
      </c>
      <c r="M249" s="84"/>
    </row>
    <row r="250" spans="1:13" ht="47.25">
      <c r="A250" s="45" t="s">
        <v>453</v>
      </c>
      <c r="B250" s="42" t="s">
        <v>73</v>
      </c>
      <c r="C250" s="42" t="s">
        <v>407</v>
      </c>
      <c r="D250" s="21" t="s">
        <v>8</v>
      </c>
      <c r="E250" s="43">
        <v>10.6</v>
      </c>
      <c r="F250" s="138"/>
      <c r="G250" s="43">
        <f>E250+F250</f>
        <v>10.6</v>
      </c>
      <c r="H250" s="43">
        <v>0</v>
      </c>
      <c r="I250" s="43">
        <v>0</v>
      </c>
      <c r="J250" s="84"/>
      <c r="K250" s="84">
        <f t="shared" si="13"/>
        <v>0</v>
      </c>
      <c r="L250" s="84">
        <f t="shared" si="12"/>
        <v>0</v>
      </c>
      <c r="M250" s="84"/>
    </row>
    <row r="251" spans="1:13" ht="94.5">
      <c r="A251" s="45" t="s">
        <v>408</v>
      </c>
      <c r="B251" s="42" t="s">
        <v>73</v>
      </c>
      <c r="C251" s="42" t="s">
        <v>409</v>
      </c>
      <c r="D251" s="21"/>
      <c r="E251" s="43">
        <f>E252</f>
        <v>123.1</v>
      </c>
      <c r="F251" s="37">
        <f>F252</f>
        <v>0</v>
      </c>
      <c r="G251" s="43">
        <f>G252</f>
        <v>123.1</v>
      </c>
      <c r="H251" s="43">
        <f>H252</f>
        <v>0</v>
      </c>
      <c r="I251" s="43">
        <f>I252</f>
        <v>0</v>
      </c>
      <c r="J251" s="84"/>
      <c r="K251" s="84">
        <f t="shared" si="13"/>
        <v>0</v>
      </c>
      <c r="L251" s="84">
        <f t="shared" si="12"/>
        <v>0</v>
      </c>
      <c r="M251" s="84"/>
    </row>
    <row r="252" spans="1:13" ht="47.25">
      <c r="A252" s="45" t="s">
        <v>453</v>
      </c>
      <c r="B252" s="42" t="s">
        <v>73</v>
      </c>
      <c r="C252" s="42" t="s">
        <v>409</v>
      </c>
      <c r="D252" s="21" t="s">
        <v>8</v>
      </c>
      <c r="E252" s="43">
        <v>123.1</v>
      </c>
      <c r="F252" s="138"/>
      <c r="G252" s="43">
        <f>E252+F252</f>
        <v>123.1</v>
      </c>
      <c r="H252" s="43">
        <v>0</v>
      </c>
      <c r="I252" s="43">
        <v>0</v>
      </c>
      <c r="J252" s="84"/>
      <c r="K252" s="84">
        <f t="shared" si="13"/>
        <v>0</v>
      </c>
      <c r="L252" s="84">
        <f t="shared" si="12"/>
        <v>0</v>
      </c>
      <c r="M252" s="84"/>
    </row>
    <row r="253" spans="1:13" ht="110.25">
      <c r="A253" s="45" t="s">
        <v>410</v>
      </c>
      <c r="B253" s="42" t="s">
        <v>73</v>
      </c>
      <c r="C253" s="42" t="s">
        <v>411</v>
      </c>
      <c r="D253" s="42"/>
      <c r="E253" s="43">
        <f>E254</f>
        <v>19.4</v>
      </c>
      <c r="F253" s="37">
        <f>F254</f>
        <v>0</v>
      </c>
      <c r="G253" s="43">
        <f>G254</f>
        <v>19.4</v>
      </c>
      <c r="H253" s="43">
        <f>H254</f>
        <v>0</v>
      </c>
      <c r="I253" s="43">
        <f>I254</f>
        <v>0</v>
      </c>
      <c r="J253" s="84"/>
      <c r="K253" s="84">
        <f t="shared" si="13"/>
        <v>0</v>
      </c>
      <c r="L253" s="84">
        <f t="shared" si="12"/>
        <v>0</v>
      </c>
      <c r="M253" s="84"/>
    </row>
    <row r="254" spans="1:13" ht="47.25">
      <c r="A254" s="45" t="s">
        <v>453</v>
      </c>
      <c r="B254" s="42" t="s">
        <v>73</v>
      </c>
      <c r="C254" s="42" t="s">
        <v>411</v>
      </c>
      <c r="D254" s="42" t="s">
        <v>8</v>
      </c>
      <c r="E254" s="43">
        <v>19.4</v>
      </c>
      <c r="F254" s="138"/>
      <c r="G254" s="43">
        <f>E254+F254</f>
        <v>19.4</v>
      </c>
      <c r="H254" s="43">
        <v>0</v>
      </c>
      <c r="I254" s="43">
        <v>0</v>
      </c>
      <c r="J254" s="84"/>
      <c r="K254" s="84">
        <f t="shared" si="13"/>
        <v>0</v>
      </c>
      <c r="L254" s="84">
        <f t="shared" si="12"/>
        <v>0</v>
      </c>
      <c r="M254" s="84"/>
    </row>
    <row r="255" spans="1:13" ht="80.25" customHeight="1">
      <c r="A255" s="45" t="s">
        <v>450</v>
      </c>
      <c r="B255" s="42" t="s">
        <v>73</v>
      </c>
      <c r="C255" s="42" t="s">
        <v>449</v>
      </c>
      <c r="D255" s="42"/>
      <c r="E255" s="43">
        <f>E256</f>
        <v>60</v>
      </c>
      <c r="F255" s="43">
        <f>F256</f>
        <v>0</v>
      </c>
      <c r="G255" s="43">
        <f>G256</f>
        <v>60</v>
      </c>
      <c r="H255" s="43">
        <f>H256</f>
        <v>0</v>
      </c>
      <c r="I255" s="43">
        <f>I256</f>
        <v>0</v>
      </c>
      <c r="J255" s="84"/>
      <c r="K255" s="84">
        <f t="shared" si="13"/>
        <v>0</v>
      </c>
      <c r="L255" s="84">
        <f t="shared" si="12"/>
        <v>0</v>
      </c>
      <c r="M255" s="84"/>
    </row>
    <row r="256" spans="1:13" ht="15.75">
      <c r="A256" s="45" t="s">
        <v>42</v>
      </c>
      <c r="B256" s="42" t="s">
        <v>73</v>
      </c>
      <c r="C256" s="42" t="s">
        <v>449</v>
      </c>
      <c r="D256" s="42" t="s">
        <v>43</v>
      </c>
      <c r="E256" s="43">
        <v>60</v>
      </c>
      <c r="F256" s="138"/>
      <c r="G256" s="43">
        <f>E256+F256</f>
        <v>60</v>
      </c>
      <c r="H256" s="43">
        <v>0</v>
      </c>
      <c r="I256" s="43">
        <v>0</v>
      </c>
      <c r="J256" s="84"/>
      <c r="K256" s="84">
        <f t="shared" si="13"/>
        <v>0</v>
      </c>
      <c r="L256" s="84">
        <f t="shared" si="12"/>
        <v>0</v>
      </c>
      <c r="M256" s="84"/>
    </row>
    <row r="257" spans="1:13" ht="31.5">
      <c r="A257" s="45" t="s">
        <v>416</v>
      </c>
      <c r="B257" s="42" t="s">
        <v>73</v>
      </c>
      <c r="C257" s="42" t="s">
        <v>415</v>
      </c>
      <c r="D257" s="42"/>
      <c r="E257" s="43">
        <f>E258</f>
        <v>580</v>
      </c>
      <c r="F257" s="158">
        <f>F258</f>
        <v>0</v>
      </c>
      <c r="G257" s="43">
        <f>E257+F257</f>
        <v>580</v>
      </c>
      <c r="H257" s="43">
        <f>H258</f>
        <v>0</v>
      </c>
      <c r="I257" s="43">
        <f>I258</f>
        <v>0</v>
      </c>
      <c r="J257" s="84"/>
      <c r="K257" s="84">
        <f t="shared" si="13"/>
        <v>0</v>
      </c>
      <c r="L257" s="84">
        <f t="shared" si="12"/>
        <v>0</v>
      </c>
      <c r="M257" s="84"/>
    </row>
    <row r="258" spans="1:13" ht="47.25">
      <c r="A258" s="45" t="s">
        <v>453</v>
      </c>
      <c r="B258" s="42" t="s">
        <v>73</v>
      </c>
      <c r="C258" s="42" t="s">
        <v>415</v>
      </c>
      <c r="D258" s="42" t="s">
        <v>8</v>
      </c>
      <c r="E258" s="43">
        <v>580</v>
      </c>
      <c r="F258" s="158"/>
      <c r="G258" s="43">
        <f>E258+F258</f>
        <v>580</v>
      </c>
      <c r="H258" s="43">
        <v>0</v>
      </c>
      <c r="I258" s="43">
        <v>0</v>
      </c>
      <c r="J258" s="84"/>
      <c r="K258" s="84">
        <f t="shared" si="13"/>
        <v>0</v>
      </c>
      <c r="L258" s="84">
        <f t="shared" si="12"/>
        <v>0</v>
      </c>
      <c r="M258" s="84"/>
    </row>
    <row r="259" spans="1:13" ht="31.5">
      <c r="A259" s="45" t="s">
        <v>257</v>
      </c>
      <c r="B259" s="42" t="s">
        <v>73</v>
      </c>
      <c r="C259" s="42" t="s">
        <v>258</v>
      </c>
      <c r="D259" s="21"/>
      <c r="E259" s="43">
        <f>E260</f>
        <v>50</v>
      </c>
      <c r="F259" s="43">
        <f>F260</f>
        <v>0</v>
      </c>
      <c r="G259" s="43">
        <f>G260</f>
        <v>50</v>
      </c>
      <c r="H259" s="43">
        <f>H260</f>
        <v>0</v>
      </c>
      <c r="I259" s="43">
        <f>I260</f>
        <v>0</v>
      </c>
      <c r="J259" s="84"/>
      <c r="K259" s="84">
        <f t="shared" si="13"/>
        <v>0</v>
      </c>
      <c r="L259" s="84">
        <f t="shared" si="12"/>
        <v>0</v>
      </c>
      <c r="M259" s="84"/>
    </row>
    <row r="260" spans="1:13" ht="47.25">
      <c r="A260" s="45" t="s">
        <v>453</v>
      </c>
      <c r="B260" s="42" t="s">
        <v>73</v>
      </c>
      <c r="C260" s="42" t="s">
        <v>258</v>
      </c>
      <c r="D260" s="21" t="s">
        <v>8</v>
      </c>
      <c r="E260" s="43">
        <v>50</v>
      </c>
      <c r="F260" s="21"/>
      <c r="G260" s="43">
        <v>50</v>
      </c>
      <c r="H260" s="43">
        <v>0</v>
      </c>
      <c r="I260" s="43">
        <v>0</v>
      </c>
      <c r="J260" s="84"/>
      <c r="K260" s="84">
        <f t="shared" si="13"/>
        <v>0</v>
      </c>
      <c r="L260" s="84">
        <f t="shared" si="12"/>
        <v>0</v>
      </c>
      <c r="M260" s="84"/>
    </row>
    <row r="261" spans="1:13" ht="47.25">
      <c r="A261" s="45" t="s">
        <v>247</v>
      </c>
      <c r="B261" s="42" t="s">
        <v>73</v>
      </c>
      <c r="C261" s="42" t="s">
        <v>248</v>
      </c>
      <c r="D261" s="58"/>
      <c r="E261" s="43">
        <f>E262</f>
        <v>94.8</v>
      </c>
      <c r="F261" s="43">
        <f>F262</f>
        <v>0</v>
      </c>
      <c r="G261" s="43">
        <f>G262</f>
        <v>94.8</v>
      </c>
      <c r="H261" s="43">
        <f>H262</f>
        <v>101.3</v>
      </c>
      <c r="I261" s="43">
        <f>I262</f>
        <v>568.2</v>
      </c>
      <c r="J261" s="84"/>
      <c r="K261" s="84">
        <f t="shared" si="13"/>
        <v>0</v>
      </c>
      <c r="L261" s="84">
        <f t="shared" si="12"/>
        <v>0</v>
      </c>
      <c r="M261" s="84"/>
    </row>
    <row r="262" spans="1:13" ht="47.25">
      <c r="A262" s="45" t="s">
        <v>453</v>
      </c>
      <c r="B262" s="42" t="s">
        <v>73</v>
      </c>
      <c r="C262" s="42" t="s">
        <v>248</v>
      </c>
      <c r="D262" s="21" t="s">
        <v>8</v>
      </c>
      <c r="E262" s="43">
        <v>94.8</v>
      </c>
      <c r="F262" s="21"/>
      <c r="G262" s="43">
        <v>94.8</v>
      </c>
      <c r="H262" s="43">
        <v>101.3</v>
      </c>
      <c r="I262" s="43">
        <v>568.2</v>
      </c>
      <c r="J262" s="84"/>
      <c r="K262" s="84">
        <f t="shared" si="13"/>
        <v>0</v>
      </c>
      <c r="L262" s="84">
        <f t="shared" si="12"/>
        <v>0</v>
      </c>
      <c r="M262" s="84"/>
    </row>
    <row r="263" spans="1:13" ht="15.75">
      <c r="A263" s="45" t="s">
        <v>333</v>
      </c>
      <c r="B263" s="42" t="s">
        <v>73</v>
      </c>
      <c r="C263" s="42" t="s">
        <v>332</v>
      </c>
      <c r="D263" s="21"/>
      <c r="E263" s="43">
        <f>E264</f>
        <v>858.6</v>
      </c>
      <c r="F263" s="43">
        <f>F264</f>
        <v>0</v>
      </c>
      <c r="G263" s="43">
        <f>G264</f>
        <v>858.6</v>
      </c>
      <c r="H263" s="43">
        <f>H264</f>
        <v>0</v>
      </c>
      <c r="I263" s="43">
        <f>I264</f>
        <v>0</v>
      </c>
      <c r="J263" s="84"/>
      <c r="K263" s="84">
        <f t="shared" si="13"/>
        <v>0</v>
      </c>
      <c r="L263" s="84">
        <f t="shared" si="12"/>
        <v>0</v>
      </c>
      <c r="M263" s="84"/>
    </row>
    <row r="264" spans="1:13" ht="47.25">
      <c r="A264" s="45" t="s">
        <v>453</v>
      </c>
      <c r="B264" s="42" t="s">
        <v>73</v>
      </c>
      <c r="C264" s="42" t="s">
        <v>332</v>
      </c>
      <c r="D264" s="21" t="s">
        <v>8</v>
      </c>
      <c r="E264" s="43">
        <v>858.6</v>
      </c>
      <c r="F264" s="146">
        <f>-0.1+0.1</f>
        <v>0</v>
      </c>
      <c r="G264" s="43">
        <f>E264+F264</f>
        <v>858.6</v>
      </c>
      <c r="H264" s="43">
        <v>0</v>
      </c>
      <c r="I264" s="43">
        <v>0</v>
      </c>
      <c r="J264" s="84"/>
      <c r="K264" s="84">
        <f t="shared" si="13"/>
        <v>0</v>
      </c>
      <c r="L264" s="84">
        <f t="shared" si="12"/>
        <v>0</v>
      </c>
      <c r="M264" s="84"/>
    </row>
    <row r="265" spans="1:13" ht="47.25">
      <c r="A265" s="45" t="s">
        <v>231</v>
      </c>
      <c r="B265" s="42" t="s">
        <v>73</v>
      </c>
      <c r="C265" s="42" t="s">
        <v>230</v>
      </c>
      <c r="D265" s="42"/>
      <c r="E265" s="47">
        <f>E266</f>
        <v>633.5</v>
      </c>
      <c r="F265" s="47">
        <f>F266</f>
        <v>0</v>
      </c>
      <c r="G265" s="47">
        <f>G266</f>
        <v>633.5</v>
      </c>
      <c r="H265" s="47">
        <f>H266</f>
        <v>0</v>
      </c>
      <c r="I265" s="47">
        <f>I266</f>
        <v>0</v>
      </c>
      <c r="J265" s="84"/>
      <c r="K265" s="84">
        <f t="shared" si="13"/>
        <v>0</v>
      </c>
      <c r="L265" s="84">
        <f t="shared" si="12"/>
        <v>0</v>
      </c>
      <c r="M265" s="84"/>
    </row>
    <row r="266" spans="1:13" ht="15.75">
      <c r="A266" s="45" t="s">
        <v>27</v>
      </c>
      <c r="B266" s="42" t="s">
        <v>73</v>
      </c>
      <c r="C266" s="42" t="s">
        <v>230</v>
      </c>
      <c r="D266" s="42" t="s">
        <v>16</v>
      </c>
      <c r="E266" s="47">
        <v>633.5</v>
      </c>
      <c r="F266" s="42"/>
      <c r="G266" s="47">
        <v>633.5</v>
      </c>
      <c r="H266" s="47">
        <v>0</v>
      </c>
      <c r="I266" s="47">
        <v>0</v>
      </c>
      <c r="J266" s="84"/>
      <c r="K266" s="84">
        <f t="shared" si="13"/>
        <v>0</v>
      </c>
      <c r="L266" s="84">
        <f t="shared" si="12"/>
        <v>0</v>
      </c>
      <c r="M266" s="84"/>
    </row>
    <row r="267" spans="1:13" ht="47.25">
      <c r="A267" s="45" t="s">
        <v>56</v>
      </c>
      <c r="B267" s="56">
        <v>923</v>
      </c>
      <c r="C267" s="56" t="s">
        <v>107</v>
      </c>
      <c r="D267" s="56"/>
      <c r="E267" s="37">
        <f>E268</f>
        <v>450</v>
      </c>
      <c r="F267" s="37">
        <f>F268</f>
        <v>0</v>
      </c>
      <c r="G267" s="37">
        <f>G268</f>
        <v>450</v>
      </c>
      <c r="H267" s="37">
        <f>H268</f>
        <v>0</v>
      </c>
      <c r="I267" s="37">
        <f>I268</f>
        <v>0</v>
      </c>
      <c r="J267" s="84"/>
      <c r="K267" s="84">
        <f t="shared" si="13"/>
        <v>0</v>
      </c>
      <c r="L267" s="84">
        <f t="shared" si="12"/>
        <v>0</v>
      </c>
      <c r="M267" s="84"/>
    </row>
    <row r="268" spans="1:13" ht="15.75">
      <c r="A268" s="45" t="s">
        <v>9</v>
      </c>
      <c r="B268" s="56">
        <v>923</v>
      </c>
      <c r="C268" s="56" t="s">
        <v>107</v>
      </c>
      <c r="D268" s="56">
        <v>800</v>
      </c>
      <c r="E268" s="37">
        <f>500-50</f>
        <v>450</v>
      </c>
      <c r="F268" s="56"/>
      <c r="G268" s="37">
        <f>500-50</f>
        <v>450</v>
      </c>
      <c r="H268" s="37">
        <v>0</v>
      </c>
      <c r="I268" s="37">
        <v>0</v>
      </c>
      <c r="J268" s="84"/>
      <c r="K268" s="84">
        <f t="shared" si="13"/>
        <v>0</v>
      </c>
      <c r="L268" s="84">
        <f t="shared" si="12"/>
        <v>0</v>
      </c>
      <c r="M268" s="84"/>
    </row>
    <row r="269" spans="1:13" ht="31.5">
      <c r="A269" s="177" t="s">
        <v>74</v>
      </c>
      <c r="B269" s="33" t="s">
        <v>75</v>
      </c>
      <c r="C269" s="75"/>
      <c r="D269" s="75"/>
      <c r="E269" s="31">
        <f>E270+E323</f>
        <v>175247.30000000008</v>
      </c>
      <c r="F269" s="31">
        <f>F270+F323</f>
        <v>4250</v>
      </c>
      <c r="G269" s="31">
        <f>G270+G323</f>
        <v>179497.30000000008</v>
      </c>
      <c r="H269" s="31">
        <f>H270+H323</f>
        <v>169113.40000000002</v>
      </c>
      <c r="I269" s="31">
        <f>I270+I323</f>
        <v>177755.20000000004</v>
      </c>
      <c r="J269" s="84"/>
      <c r="K269" s="84">
        <f t="shared" si="13"/>
        <v>4250</v>
      </c>
      <c r="L269" s="84">
        <f t="shared" si="12"/>
        <v>0</v>
      </c>
      <c r="M269" s="84"/>
    </row>
    <row r="270" spans="1:13" ht="31.5">
      <c r="A270" s="174" t="s">
        <v>321</v>
      </c>
      <c r="B270" s="71" t="s">
        <v>75</v>
      </c>
      <c r="C270" s="71" t="s">
        <v>131</v>
      </c>
      <c r="D270" s="71" t="s">
        <v>0</v>
      </c>
      <c r="E270" s="77">
        <f>E271+E285+E295+E303+E311+E315+E319+E283+E275+E277+E299+E301+E307+E305+E297+E273+E289+E279+E287+E281+E291+E293+E313+E309</f>
        <v>174441.80000000008</v>
      </c>
      <c r="F270" s="77">
        <f>F271+F285+F295+F303+F311+F315+F319+F283+F275+F277+F299+F301+F307+F305+F297+F273+F289+F279+F287+F281+F291+F293+F313+F309</f>
        <v>4250</v>
      </c>
      <c r="G270" s="77">
        <f>G271+G285+G295+G303+G311+G315+G319+G283+G275+G277+G299+G301+G307+G305+G297+G273+G289+G279+G287+G281+G291+G293+G313+G309</f>
        <v>178691.80000000008</v>
      </c>
      <c r="H270" s="77">
        <f>H271+H285+H295+H303+H311+H315+H319+H283+H275+H277+H299+H301+H307+H305+H297+H273+H289+H279+H287+H281+H291+H293+H313+H309</f>
        <v>168307.90000000002</v>
      </c>
      <c r="I270" s="77">
        <f>I271+I285+I295+I303+I311+I315+I319+I283+I275+I277+I299+I301+I307+I305+I297+I273+I289+I279+I287+I281+I291+I293+I313+I309</f>
        <v>176949.70000000004</v>
      </c>
      <c r="J270" s="84"/>
      <c r="K270" s="84">
        <f t="shared" si="13"/>
        <v>4250</v>
      </c>
      <c r="L270" s="84">
        <f t="shared" si="12"/>
        <v>0</v>
      </c>
      <c r="M270" s="84"/>
    </row>
    <row r="271" spans="1:14" ht="31.5">
      <c r="A271" s="45" t="s">
        <v>358</v>
      </c>
      <c r="B271" s="42" t="s">
        <v>75</v>
      </c>
      <c r="C271" s="42" t="s">
        <v>130</v>
      </c>
      <c r="D271" s="42"/>
      <c r="E271" s="117">
        <f>E272</f>
        <v>12132.1</v>
      </c>
      <c r="F271" s="117">
        <f>F272</f>
        <v>0</v>
      </c>
      <c r="G271" s="117">
        <f>G272</f>
        <v>12132.1</v>
      </c>
      <c r="H271" s="20">
        <f>H272</f>
        <v>15237.7</v>
      </c>
      <c r="I271" s="20">
        <f>I272</f>
        <v>15730.900000000003</v>
      </c>
      <c r="J271" s="84"/>
      <c r="K271" s="84">
        <f t="shared" si="13"/>
        <v>0</v>
      </c>
      <c r="L271" s="84">
        <f t="shared" si="12"/>
        <v>0</v>
      </c>
      <c r="M271" s="84"/>
      <c r="N271" s="98"/>
    </row>
    <row r="272" spans="1:14" ht="31.5">
      <c r="A272" s="45" t="s">
        <v>10</v>
      </c>
      <c r="B272" s="42" t="s">
        <v>75</v>
      </c>
      <c r="C272" s="42" t="s">
        <v>130</v>
      </c>
      <c r="D272" s="42" t="s">
        <v>11</v>
      </c>
      <c r="E272" s="20">
        <v>12132.1</v>
      </c>
      <c r="F272" s="20"/>
      <c r="G272" s="20">
        <f>F272+E272</f>
        <v>12132.1</v>
      </c>
      <c r="H272" s="20">
        <f>20938-22.1-174.5-5503.7</f>
        <v>15237.7</v>
      </c>
      <c r="I272" s="20">
        <f>21938-22.1-190.1-5994.9</f>
        <v>15730.900000000003</v>
      </c>
      <c r="J272" s="84"/>
      <c r="K272" s="84">
        <f t="shared" si="13"/>
        <v>0</v>
      </c>
      <c r="L272" s="84">
        <f t="shared" si="12"/>
        <v>0</v>
      </c>
      <c r="M272" s="84"/>
      <c r="N272" s="98"/>
    </row>
    <row r="273" spans="1:14" ht="63">
      <c r="A273" s="45" t="s">
        <v>285</v>
      </c>
      <c r="B273" s="42" t="s">
        <v>75</v>
      </c>
      <c r="C273" s="42" t="s">
        <v>284</v>
      </c>
      <c r="D273" s="42"/>
      <c r="E273" s="20">
        <f>E274</f>
        <v>5030.7</v>
      </c>
      <c r="F273" s="20">
        <f>F274</f>
        <v>0</v>
      </c>
      <c r="G273" s="20">
        <f>G274</f>
        <v>5030.7</v>
      </c>
      <c r="H273" s="20">
        <f>H274</f>
        <v>5503.7</v>
      </c>
      <c r="I273" s="20">
        <f>I274</f>
        <v>5994.9</v>
      </c>
      <c r="J273" s="84"/>
      <c r="K273" s="84">
        <f t="shared" si="13"/>
        <v>0</v>
      </c>
      <c r="L273" s="84">
        <f aca="true" t="shared" si="15" ref="L273:L338">E273+F273-G273</f>
        <v>0</v>
      </c>
      <c r="M273" s="84"/>
      <c r="N273" s="98"/>
    </row>
    <row r="274" spans="1:14" ht="15.75">
      <c r="A274" s="45" t="s">
        <v>42</v>
      </c>
      <c r="B274" s="42" t="s">
        <v>75</v>
      </c>
      <c r="C274" s="42" t="s">
        <v>284</v>
      </c>
      <c r="D274" s="42" t="s">
        <v>43</v>
      </c>
      <c r="E274" s="20">
        <v>5030.7</v>
      </c>
      <c r="F274" s="42"/>
      <c r="G274" s="20">
        <v>5030.7</v>
      </c>
      <c r="H274" s="20">
        <v>5503.7</v>
      </c>
      <c r="I274" s="20">
        <v>5994.9</v>
      </c>
      <c r="J274" s="84"/>
      <c r="K274" s="84">
        <f t="shared" si="13"/>
        <v>0</v>
      </c>
      <c r="L274" s="84">
        <f t="shared" si="15"/>
        <v>0</v>
      </c>
      <c r="M274" s="84"/>
      <c r="N274" s="98"/>
    </row>
    <row r="275" spans="1:14" ht="63">
      <c r="A275" s="45" t="s">
        <v>267</v>
      </c>
      <c r="B275" s="42" t="s">
        <v>75</v>
      </c>
      <c r="C275" s="42" t="s">
        <v>266</v>
      </c>
      <c r="D275" s="42"/>
      <c r="E275" s="20">
        <f>E276</f>
        <v>15951.2</v>
      </c>
      <c r="F275" s="20">
        <f>F276</f>
        <v>0</v>
      </c>
      <c r="G275" s="20">
        <f>G276</f>
        <v>15951.2</v>
      </c>
      <c r="H275" s="20">
        <f>H276</f>
        <v>17450.2</v>
      </c>
      <c r="I275" s="20">
        <f>I276</f>
        <v>19008.2</v>
      </c>
      <c r="J275" s="84"/>
      <c r="K275" s="84">
        <f aca="true" t="shared" si="16" ref="K275:K342">G275-E275</f>
        <v>0</v>
      </c>
      <c r="L275" s="84">
        <f t="shared" si="15"/>
        <v>0</v>
      </c>
      <c r="M275" s="84"/>
      <c r="N275" s="98"/>
    </row>
    <row r="276" spans="1:14" ht="31.5">
      <c r="A276" s="45" t="s">
        <v>10</v>
      </c>
      <c r="B276" s="42" t="s">
        <v>75</v>
      </c>
      <c r="C276" s="42" t="s">
        <v>266</v>
      </c>
      <c r="D276" s="42" t="s">
        <v>11</v>
      </c>
      <c r="E276" s="20">
        <f>10761+159.5+5030.7</f>
        <v>15951.2</v>
      </c>
      <c r="F276" s="42"/>
      <c r="G276" s="20">
        <f>10761+159.5+5030.7</f>
        <v>15951.2</v>
      </c>
      <c r="H276" s="20">
        <f>11772+174.5+5503.7</f>
        <v>17450.2</v>
      </c>
      <c r="I276" s="20">
        <f>12823.2+190.1+5994.9</f>
        <v>19008.2</v>
      </c>
      <c r="J276" s="84"/>
      <c r="K276" s="84">
        <f t="shared" si="16"/>
        <v>0</v>
      </c>
      <c r="L276" s="84">
        <f t="shared" si="15"/>
        <v>0</v>
      </c>
      <c r="M276" s="84"/>
      <c r="N276" s="98"/>
    </row>
    <row r="277" spans="1:14" ht="31.5">
      <c r="A277" s="45" t="s">
        <v>261</v>
      </c>
      <c r="B277" s="42" t="s">
        <v>75</v>
      </c>
      <c r="C277" s="42" t="s">
        <v>260</v>
      </c>
      <c r="D277" s="42"/>
      <c r="E277" s="20">
        <f>E278</f>
        <v>44.1</v>
      </c>
      <c r="F277" s="20">
        <f>F278</f>
        <v>0</v>
      </c>
      <c r="G277" s="20">
        <f>G278</f>
        <v>44.1</v>
      </c>
      <c r="H277" s="20">
        <f>H278</f>
        <v>44.1</v>
      </c>
      <c r="I277" s="20">
        <f>I278</f>
        <v>44.1</v>
      </c>
      <c r="J277" s="84"/>
      <c r="K277" s="84">
        <f t="shared" si="16"/>
        <v>0</v>
      </c>
      <c r="L277" s="84">
        <f t="shared" si="15"/>
        <v>0</v>
      </c>
      <c r="M277" s="84"/>
      <c r="N277" s="116"/>
    </row>
    <row r="278" spans="1:14" ht="31.5">
      <c r="A278" s="45" t="s">
        <v>10</v>
      </c>
      <c r="B278" s="42" t="s">
        <v>75</v>
      </c>
      <c r="C278" s="42" t="s">
        <v>260</v>
      </c>
      <c r="D278" s="42" t="s">
        <v>11</v>
      </c>
      <c r="E278" s="20">
        <f>22+22.1</f>
        <v>44.1</v>
      </c>
      <c r="F278" s="42"/>
      <c r="G278" s="20">
        <f>22+22.1</f>
        <v>44.1</v>
      </c>
      <c r="H278" s="20">
        <f>22+22.1</f>
        <v>44.1</v>
      </c>
      <c r="I278" s="20">
        <f>22+22.1</f>
        <v>44.1</v>
      </c>
      <c r="J278" s="84"/>
      <c r="K278" s="84">
        <f t="shared" si="16"/>
        <v>0</v>
      </c>
      <c r="L278" s="84">
        <f t="shared" si="15"/>
        <v>0</v>
      </c>
      <c r="M278" s="84"/>
      <c r="N278" s="98"/>
    </row>
    <row r="279" spans="1:14" ht="31.5">
      <c r="A279" s="45" t="s">
        <v>391</v>
      </c>
      <c r="B279" s="42" t="s">
        <v>75</v>
      </c>
      <c r="C279" s="42" t="s">
        <v>392</v>
      </c>
      <c r="D279" s="42"/>
      <c r="E279" s="20">
        <f>E280</f>
        <v>746.3</v>
      </c>
      <c r="F279" s="20">
        <f>F280</f>
        <v>4250</v>
      </c>
      <c r="G279" s="20">
        <f>G280</f>
        <v>4996.3</v>
      </c>
      <c r="H279" s="20">
        <f>H280</f>
        <v>0</v>
      </c>
      <c r="I279" s="20">
        <f>I280</f>
        <v>0</v>
      </c>
      <c r="J279" s="84"/>
      <c r="K279" s="84">
        <f t="shared" si="16"/>
        <v>4250</v>
      </c>
      <c r="L279" s="84">
        <f t="shared" si="15"/>
        <v>0</v>
      </c>
      <c r="M279" s="84"/>
      <c r="N279" s="98"/>
    </row>
    <row r="280" spans="1:14" ht="31.5">
      <c r="A280" s="45" t="s">
        <v>10</v>
      </c>
      <c r="B280" s="42" t="s">
        <v>75</v>
      </c>
      <c r="C280" s="42" t="s">
        <v>392</v>
      </c>
      <c r="D280" s="42" t="s">
        <v>11</v>
      </c>
      <c r="E280" s="20">
        <v>746.3</v>
      </c>
      <c r="F280" s="129">
        <f>3350+900</f>
        <v>4250</v>
      </c>
      <c r="G280" s="20">
        <f>E280+F280</f>
        <v>4996.3</v>
      </c>
      <c r="H280" s="20">
        <f aca="true" t="shared" si="17" ref="H280:I283">H281</f>
        <v>0</v>
      </c>
      <c r="I280" s="20">
        <f t="shared" si="17"/>
        <v>0</v>
      </c>
      <c r="J280" s="84"/>
      <c r="K280" s="84">
        <f t="shared" si="16"/>
        <v>4250</v>
      </c>
      <c r="L280" s="84">
        <f t="shared" si="15"/>
        <v>0</v>
      </c>
      <c r="M280" s="84"/>
      <c r="N280" s="98"/>
    </row>
    <row r="281" spans="1:14" ht="31.5">
      <c r="A281" s="45" t="s">
        <v>391</v>
      </c>
      <c r="B281" s="42" t="s">
        <v>75</v>
      </c>
      <c r="C281" s="42" t="s">
        <v>431</v>
      </c>
      <c r="D281" s="42"/>
      <c r="E281" s="20">
        <f>E282</f>
        <v>36.7</v>
      </c>
      <c r="F281" s="20">
        <f>F282</f>
        <v>0</v>
      </c>
      <c r="G281" s="20">
        <f>G282</f>
        <v>36.7</v>
      </c>
      <c r="H281" s="20">
        <f t="shared" si="17"/>
        <v>0</v>
      </c>
      <c r="I281" s="20">
        <f t="shared" si="17"/>
        <v>0</v>
      </c>
      <c r="J281" s="84"/>
      <c r="K281" s="84">
        <f t="shared" si="16"/>
        <v>0</v>
      </c>
      <c r="L281" s="84">
        <f t="shared" si="15"/>
        <v>0</v>
      </c>
      <c r="M281" s="84"/>
      <c r="N281" s="98"/>
    </row>
    <row r="282" spans="1:14" ht="31.5">
      <c r="A282" s="45" t="s">
        <v>10</v>
      </c>
      <c r="B282" s="42" t="s">
        <v>75</v>
      </c>
      <c r="C282" s="42" t="s">
        <v>431</v>
      </c>
      <c r="D282" s="42" t="s">
        <v>11</v>
      </c>
      <c r="E282" s="20">
        <v>36.7</v>
      </c>
      <c r="F282" s="129"/>
      <c r="G282" s="20">
        <f>E282+F282</f>
        <v>36.7</v>
      </c>
      <c r="H282" s="20">
        <f t="shared" si="17"/>
        <v>0</v>
      </c>
      <c r="I282" s="20">
        <f t="shared" si="17"/>
        <v>0</v>
      </c>
      <c r="J282" s="84"/>
      <c r="K282" s="84">
        <f t="shared" si="16"/>
        <v>0</v>
      </c>
      <c r="L282" s="84">
        <f t="shared" si="15"/>
        <v>0</v>
      </c>
      <c r="M282" s="84"/>
      <c r="N282" s="98"/>
    </row>
    <row r="283" spans="1:14" ht="31.5">
      <c r="A283" s="45" t="s">
        <v>249</v>
      </c>
      <c r="B283" s="42" t="s">
        <v>75</v>
      </c>
      <c r="C283" s="42" t="s">
        <v>253</v>
      </c>
      <c r="D283" s="42"/>
      <c r="E283" s="20">
        <f>E284</f>
        <v>1484.1</v>
      </c>
      <c r="F283" s="20">
        <f>F284</f>
        <v>0</v>
      </c>
      <c r="G283" s="20">
        <f>G284</f>
        <v>1484.1</v>
      </c>
      <c r="H283" s="20">
        <f t="shared" si="17"/>
        <v>0</v>
      </c>
      <c r="I283" s="20">
        <f t="shared" si="17"/>
        <v>0</v>
      </c>
      <c r="J283" s="84"/>
      <c r="K283" s="84">
        <f t="shared" si="16"/>
        <v>0</v>
      </c>
      <c r="L283" s="84">
        <f t="shared" si="15"/>
        <v>0</v>
      </c>
      <c r="M283" s="84"/>
      <c r="N283" s="98"/>
    </row>
    <row r="284" spans="1:14" ht="31.5">
      <c r="A284" s="45" t="s">
        <v>10</v>
      </c>
      <c r="B284" s="42" t="s">
        <v>75</v>
      </c>
      <c r="C284" s="42" t="s">
        <v>253</v>
      </c>
      <c r="D284" s="42" t="s">
        <v>11</v>
      </c>
      <c r="E284" s="20">
        <v>1484.1</v>
      </c>
      <c r="F284" s="129"/>
      <c r="G284" s="20">
        <f>E284+F284</f>
        <v>1484.1</v>
      </c>
      <c r="H284" s="20">
        <v>0</v>
      </c>
      <c r="I284" s="20">
        <v>0</v>
      </c>
      <c r="J284" s="84"/>
      <c r="K284" s="84">
        <f t="shared" si="16"/>
        <v>0</v>
      </c>
      <c r="L284" s="84">
        <f t="shared" si="15"/>
        <v>0</v>
      </c>
      <c r="M284" s="84"/>
      <c r="N284" s="98"/>
    </row>
    <row r="285" spans="1:14" ht="15.75">
      <c r="A285" s="45" t="s">
        <v>196</v>
      </c>
      <c r="B285" s="42" t="s">
        <v>75</v>
      </c>
      <c r="C285" s="42" t="s">
        <v>197</v>
      </c>
      <c r="D285" s="42"/>
      <c r="E285" s="20">
        <f>E286</f>
        <v>18.7</v>
      </c>
      <c r="F285" s="20">
        <f>F286</f>
        <v>0</v>
      </c>
      <c r="G285" s="20">
        <f>G286</f>
        <v>18.7</v>
      </c>
      <c r="H285" s="20">
        <f>H286</f>
        <v>0</v>
      </c>
      <c r="I285" s="20">
        <f>I286</f>
        <v>0</v>
      </c>
      <c r="J285" s="84"/>
      <c r="K285" s="84">
        <f t="shared" si="16"/>
        <v>0</v>
      </c>
      <c r="L285" s="84">
        <f t="shared" si="15"/>
        <v>0</v>
      </c>
      <c r="M285" s="84"/>
      <c r="N285" s="99"/>
    </row>
    <row r="286" spans="1:14" ht="31.5">
      <c r="A286" s="45" t="s">
        <v>10</v>
      </c>
      <c r="B286" s="42" t="s">
        <v>75</v>
      </c>
      <c r="C286" s="42" t="s">
        <v>197</v>
      </c>
      <c r="D286" s="42" t="s">
        <v>11</v>
      </c>
      <c r="E286" s="20">
        <v>18.7</v>
      </c>
      <c r="F286" s="129"/>
      <c r="G286" s="20">
        <f>E286+F286</f>
        <v>18.7</v>
      </c>
      <c r="H286" s="20">
        <v>0</v>
      </c>
      <c r="I286" s="20">
        <v>0</v>
      </c>
      <c r="J286" s="84"/>
      <c r="K286" s="84">
        <f t="shared" si="16"/>
        <v>0</v>
      </c>
      <c r="L286" s="84">
        <f t="shared" si="15"/>
        <v>0</v>
      </c>
      <c r="M286" s="84"/>
      <c r="N286" s="99"/>
    </row>
    <row r="287" spans="1:14" ht="31.5">
      <c r="A287" s="45" t="s">
        <v>249</v>
      </c>
      <c r="B287" s="42" t="s">
        <v>75</v>
      </c>
      <c r="C287" s="42" t="s">
        <v>390</v>
      </c>
      <c r="D287" s="42"/>
      <c r="E287" s="20">
        <f>E288</f>
        <v>819.6</v>
      </c>
      <c r="F287" s="20">
        <f>F288</f>
        <v>0</v>
      </c>
      <c r="G287" s="20">
        <f>G288</f>
        <v>819.6</v>
      </c>
      <c r="H287" s="20">
        <f>H288</f>
        <v>0</v>
      </c>
      <c r="I287" s="20">
        <f>I288</f>
        <v>0</v>
      </c>
      <c r="J287" s="84"/>
      <c r="K287" s="84">
        <f t="shared" si="16"/>
        <v>0</v>
      </c>
      <c r="L287" s="84">
        <f t="shared" si="15"/>
        <v>0</v>
      </c>
      <c r="M287" s="84"/>
      <c r="N287" s="99"/>
    </row>
    <row r="288" spans="1:14" ht="31.5">
      <c r="A288" s="45" t="s">
        <v>10</v>
      </c>
      <c r="B288" s="42" t="s">
        <v>75</v>
      </c>
      <c r="C288" s="42" t="s">
        <v>390</v>
      </c>
      <c r="D288" s="42" t="s">
        <v>11</v>
      </c>
      <c r="E288" s="20">
        <v>819.6</v>
      </c>
      <c r="F288" s="129"/>
      <c r="G288" s="20">
        <f>E288+F288</f>
        <v>819.6</v>
      </c>
      <c r="H288" s="20">
        <v>0</v>
      </c>
      <c r="I288" s="20">
        <v>0</v>
      </c>
      <c r="J288" s="84"/>
      <c r="K288" s="84">
        <f t="shared" si="16"/>
        <v>0</v>
      </c>
      <c r="L288" s="84">
        <f t="shared" si="15"/>
        <v>0</v>
      </c>
      <c r="M288" s="84"/>
      <c r="N288" s="99"/>
    </row>
    <row r="289" spans="1:14" ht="31.5">
      <c r="A289" s="45" t="s">
        <v>255</v>
      </c>
      <c r="B289" s="42" t="s">
        <v>75</v>
      </c>
      <c r="C289" s="42" t="s">
        <v>372</v>
      </c>
      <c r="D289" s="42"/>
      <c r="E289" s="20">
        <f>E290</f>
        <v>441.6</v>
      </c>
      <c r="F289" s="20">
        <f>F290</f>
        <v>0</v>
      </c>
      <c r="G289" s="20">
        <f>G290</f>
        <v>441.6</v>
      </c>
      <c r="H289" s="20">
        <f>H290</f>
        <v>0</v>
      </c>
      <c r="I289" s="20">
        <f>I290</f>
        <v>0</v>
      </c>
      <c r="J289" s="84"/>
      <c r="K289" s="84">
        <f t="shared" si="16"/>
        <v>0</v>
      </c>
      <c r="L289" s="84">
        <f t="shared" si="15"/>
        <v>0</v>
      </c>
      <c r="M289" s="84"/>
      <c r="N289" s="99"/>
    </row>
    <row r="290" spans="1:14" ht="31.5">
      <c r="A290" s="45" t="s">
        <v>10</v>
      </c>
      <c r="B290" s="42" t="s">
        <v>75</v>
      </c>
      <c r="C290" s="42" t="s">
        <v>372</v>
      </c>
      <c r="D290" s="42" t="s">
        <v>11</v>
      </c>
      <c r="E290" s="20">
        <v>441.6</v>
      </c>
      <c r="F290" s="157"/>
      <c r="G290" s="20">
        <f>E290+F290</f>
        <v>441.6</v>
      </c>
      <c r="H290" s="20">
        <v>0</v>
      </c>
      <c r="I290" s="20">
        <v>0</v>
      </c>
      <c r="J290" s="84"/>
      <c r="K290" s="84">
        <f t="shared" si="16"/>
        <v>0</v>
      </c>
      <c r="L290" s="84">
        <f t="shared" si="15"/>
        <v>0</v>
      </c>
      <c r="M290" s="84"/>
      <c r="N290" s="99"/>
    </row>
    <row r="291" spans="1:14" ht="15.75">
      <c r="A291" s="45" t="s">
        <v>196</v>
      </c>
      <c r="B291" s="42" t="s">
        <v>75</v>
      </c>
      <c r="C291" s="42" t="s">
        <v>432</v>
      </c>
      <c r="D291" s="42"/>
      <c r="E291" s="20">
        <f>E292</f>
        <v>386</v>
      </c>
      <c r="F291" s="20">
        <f>F292</f>
        <v>0</v>
      </c>
      <c r="G291" s="20">
        <f>G292</f>
        <v>386</v>
      </c>
      <c r="H291" s="20">
        <f>H292</f>
        <v>0</v>
      </c>
      <c r="I291" s="20">
        <f>I292</f>
        <v>0</v>
      </c>
      <c r="J291" s="84"/>
      <c r="K291" s="84">
        <f t="shared" si="16"/>
        <v>0</v>
      </c>
      <c r="L291" s="84">
        <f t="shared" si="15"/>
        <v>0</v>
      </c>
      <c r="M291" s="84"/>
      <c r="N291" s="99"/>
    </row>
    <row r="292" spans="1:14" ht="31.5">
      <c r="A292" s="45" t="s">
        <v>10</v>
      </c>
      <c r="B292" s="42" t="s">
        <v>75</v>
      </c>
      <c r="C292" s="42" t="s">
        <v>432</v>
      </c>
      <c r="D292" s="42" t="s">
        <v>11</v>
      </c>
      <c r="E292" s="20">
        <v>386</v>
      </c>
      <c r="F292" s="129"/>
      <c r="G292" s="20">
        <f>E292+F292</f>
        <v>386</v>
      </c>
      <c r="H292" s="20">
        <v>0</v>
      </c>
      <c r="I292" s="20">
        <v>0</v>
      </c>
      <c r="J292" s="84"/>
      <c r="K292" s="84">
        <f t="shared" si="16"/>
        <v>0</v>
      </c>
      <c r="L292" s="84">
        <f t="shared" si="15"/>
        <v>0</v>
      </c>
      <c r="M292" s="84"/>
      <c r="N292" s="99"/>
    </row>
    <row r="293" spans="1:14" ht="63">
      <c r="A293" s="45" t="s">
        <v>434</v>
      </c>
      <c r="B293" s="42" t="s">
        <v>75</v>
      </c>
      <c r="C293" s="42" t="s">
        <v>433</v>
      </c>
      <c r="D293" s="42"/>
      <c r="E293" s="20">
        <f>E294</f>
        <v>313</v>
      </c>
      <c r="F293" s="20">
        <f>F294</f>
        <v>0</v>
      </c>
      <c r="G293" s="20">
        <f>G294</f>
        <v>313</v>
      </c>
      <c r="H293" s="20">
        <f>H294</f>
        <v>0</v>
      </c>
      <c r="I293" s="20">
        <f>I294</f>
        <v>0</v>
      </c>
      <c r="J293" s="84"/>
      <c r="K293" s="84">
        <f t="shared" si="16"/>
        <v>0</v>
      </c>
      <c r="L293" s="84">
        <f t="shared" si="15"/>
        <v>0</v>
      </c>
      <c r="M293" s="84"/>
      <c r="N293" s="99"/>
    </row>
    <row r="294" spans="1:14" ht="31.5">
      <c r="A294" s="45" t="s">
        <v>10</v>
      </c>
      <c r="B294" s="42" t="s">
        <v>75</v>
      </c>
      <c r="C294" s="42" t="s">
        <v>433</v>
      </c>
      <c r="D294" s="42" t="s">
        <v>11</v>
      </c>
      <c r="E294" s="20">
        <v>313</v>
      </c>
      <c r="F294" s="129"/>
      <c r="G294" s="20">
        <f>E294+F294</f>
        <v>313</v>
      </c>
      <c r="H294" s="20">
        <v>0</v>
      </c>
      <c r="I294" s="20">
        <v>0</v>
      </c>
      <c r="J294" s="84"/>
      <c r="K294" s="84">
        <f t="shared" si="16"/>
        <v>0</v>
      </c>
      <c r="L294" s="84">
        <f t="shared" si="15"/>
        <v>0</v>
      </c>
      <c r="M294" s="84"/>
      <c r="N294" s="99"/>
    </row>
    <row r="295" spans="1:14" ht="31.5">
      <c r="A295" s="45" t="s">
        <v>51</v>
      </c>
      <c r="B295" s="42" t="s">
        <v>75</v>
      </c>
      <c r="C295" s="42" t="s">
        <v>132</v>
      </c>
      <c r="D295" s="42"/>
      <c r="E295" s="43">
        <f>E296</f>
        <v>36405.6</v>
      </c>
      <c r="F295" s="43">
        <f>F296</f>
        <v>0</v>
      </c>
      <c r="G295" s="43">
        <f>G296</f>
        <v>36405.6</v>
      </c>
      <c r="H295" s="43">
        <f>H296</f>
        <v>34611.3</v>
      </c>
      <c r="I295" s="43">
        <f>I296</f>
        <v>34564.7</v>
      </c>
      <c r="J295" s="84"/>
      <c r="K295" s="84">
        <f t="shared" si="16"/>
        <v>0</v>
      </c>
      <c r="L295" s="84">
        <f t="shared" si="15"/>
        <v>0</v>
      </c>
      <c r="M295" s="84"/>
      <c r="N295" s="98"/>
    </row>
    <row r="296" spans="1:14" ht="31.5">
      <c r="A296" s="45" t="s">
        <v>10</v>
      </c>
      <c r="B296" s="42" t="s">
        <v>75</v>
      </c>
      <c r="C296" s="42" t="s">
        <v>132</v>
      </c>
      <c r="D296" s="42" t="s">
        <v>11</v>
      </c>
      <c r="E296" s="43">
        <v>36405.6</v>
      </c>
      <c r="F296" s="43"/>
      <c r="G296" s="43">
        <f>E296+F296</f>
        <v>36405.6</v>
      </c>
      <c r="H296" s="43">
        <f>46846.3-64.3-360.6-11810.1</f>
        <v>34611.3</v>
      </c>
      <c r="I296" s="43">
        <f>47886-64.3-392.8-12864.2</f>
        <v>34564.7</v>
      </c>
      <c r="J296" s="84"/>
      <c r="K296" s="84">
        <f t="shared" si="16"/>
        <v>0</v>
      </c>
      <c r="L296" s="84">
        <f t="shared" si="15"/>
        <v>0</v>
      </c>
      <c r="M296" s="84"/>
      <c r="N296" s="98"/>
    </row>
    <row r="297" spans="1:14" ht="63">
      <c r="A297" s="45" t="s">
        <v>285</v>
      </c>
      <c r="B297" s="42" t="s">
        <v>75</v>
      </c>
      <c r="C297" s="42" t="s">
        <v>281</v>
      </c>
      <c r="D297" s="42"/>
      <c r="E297" s="43">
        <f>E298</f>
        <v>10795.2</v>
      </c>
      <c r="F297" s="43">
        <f>F298</f>
        <v>0</v>
      </c>
      <c r="G297" s="43">
        <f>G298</f>
        <v>10795.2</v>
      </c>
      <c r="H297" s="43">
        <f>H298</f>
        <v>11810.1</v>
      </c>
      <c r="I297" s="43">
        <f>I298</f>
        <v>12864.2</v>
      </c>
      <c r="J297" s="84"/>
      <c r="K297" s="84">
        <f t="shared" si="16"/>
        <v>0</v>
      </c>
      <c r="L297" s="84">
        <f t="shared" si="15"/>
        <v>0</v>
      </c>
      <c r="M297" s="84"/>
      <c r="N297" s="98"/>
    </row>
    <row r="298" spans="1:14" ht="15.75">
      <c r="A298" s="45" t="s">
        <v>42</v>
      </c>
      <c r="B298" s="42" t="s">
        <v>75</v>
      </c>
      <c r="C298" s="42" t="s">
        <v>281</v>
      </c>
      <c r="D298" s="42" t="s">
        <v>43</v>
      </c>
      <c r="E298" s="43">
        <v>10795.2</v>
      </c>
      <c r="F298" s="42"/>
      <c r="G298" s="43">
        <v>10795.2</v>
      </c>
      <c r="H298" s="43">
        <v>11810.1</v>
      </c>
      <c r="I298" s="43">
        <v>12864.2</v>
      </c>
      <c r="J298" s="84"/>
      <c r="K298" s="84">
        <f t="shared" si="16"/>
        <v>0</v>
      </c>
      <c r="L298" s="84">
        <f t="shared" si="15"/>
        <v>0</v>
      </c>
      <c r="M298" s="84"/>
      <c r="N298" s="98"/>
    </row>
    <row r="299" spans="1:14" ht="63">
      <c r="A299" s="45" t="s">
        <v>267</v>
      </c>
      <c r="B299" s="42" t="s">
        <v>75</v>
      </c>
      <c r="C299" s="42" t="s">
        <v>268</v>
      </c>
      <c r="D299" s="42"/>
      <c r="E299" s="20">
        <f>E300</f>
        <v>32965.5</v>
      </c>
      <c r="F299" s="20">
        <f>F300</f>
        <v>0</v>
      </c>
      <c r="G299" s="20">
        <f>G300</f>
        <v>32965.5</v>
      </c>
      <c r="H299" s="20">
        <f>H300</f>
        <v>36063.299999999996</v>
      </c>
      <c r="I299" s="20">
        <f>I300</f>
        <v>39283.9</v>
      </c>
      <c r="J299" s="84"/>
      <c r="K299" s="84">
        <f t="shared" si="16"/>
        <v>0</v>
      </c>
      <c r="L299" s="84">
        <f t="shared" si="15"/>
        <v>0</v>
      </c>
      <c r="M299" s="84"/>
      <c r="N299" s="98"/>
    </row>
    <row r="300" spans="1:14" ht="31.5">
      <c r="A300" s="45" t="s">
        <v>10</v>
      </c>
      <c r="B300" s="42" t="s">
        <v>75</v>
      </c>
      <c r="C300" s="42" t="s">
        <v>268</v>
      </c>
      <c r="D300" s="42" t="s">
        <v>11</v>
      </c>
      <c r="E300" s="20">
        <f>21840.6+329.7+10795.2</f>
        <v>32965.5</v>
      </c>
      <c r="F300" s="42"/>
      <c r="G300" s="20">
        <f>21840.6+329.7+10795.2</f>
        <v>32965.5</v>
      </c>
      <c r="H300" s="20">
        <f>23892.6+360.6+11810.1</f>
        <v>36063.299999999996</v>
      </c>
      <c r="I300" s="20">
        <f>26026.9+392.8+12864.2</f>
        <v>39283.9</v>
      </c>
      <c r="J300" s="84"/>
      <c r="K300" s="84">
        <f t="shared" si="16"/>
        <v>0</v>
      </c>
      <c r="L300" s="84">
        <f t="shared" si="15"/>
        <v>0</v>
      </c>
      <c r="M300" s="84"/>
      <c r="N300" s="98"/>
    </row>
    <row r="301" spans="1:14" ht="31.5">
      <c r="A301" s="45" t="s">
        <v>261</v>
      </c>
      <c r="B301" s="42" t="s">
        <v>75</v>
      </c>
      <c r="C301" s="42" t="s">
        <v>262</v>
      </c>
      <c r="D301" s="42"/>
      <c r="E301" s="43">
        <f>E302</f>
        <v>128.6</v>
      </c>
      <c r="F301" s="43">
        <f>F302</f>
        <v>0</v>
      </c>
      <c r="G301" s="43">
        <f>G302</f>
        <v>128.6</v>
      </c>
      <c r="H301" s="43">
        <f>H302</f>
        <v>128.6</v>
      </c>
      <c r="I301" s="43">
        <f>I302</f>
        <v>128.6</v>
      </c>
      <c r="J301" s="84"/>
      <c r="K301" s="84">
        <f t="shared" si="16"/>
        <v>0</v>
      </c>
      <c r="L301" s="84">
        <f t="shared" si="15"/>
        <v>0</v>
      </c>
      <c r="M301" s="84"/>
      <c r="N301" s="98"/>
    </row>
    <row r="302" spans="1:14" ht="31.5">
      <c r="A302" s="45" t="s">
        <v>10</v>
      </c>
      <c r="B302" s="42" t="s">
        <v>75</v>
      </c>
      <c r="C302" s="42" t="s">
        <v>262</v>
      </c>
      <c r="D302" s="42" t="s">
        <v>11</v>
      </c>
      <c r="E302" s="43">
        <f>64.3+64.3</f>
        <v>128.6</v>
      </c>
      <c r="F302" s="42"/>
      <c r="G302" s="43">
        <f>64.3+64.3</f>
        <v>128.6</v>
      </c>
      <c r="H302" s="43">
        <f>64.3+64.3</f>
        <v>128.6</v>
      </c>
      <c r="I302" s="43">
        <f>64.3+64.3</f>
        <v>128.6</v>
      </c>
      <c r="J302" s="84"/>
      <c r="K302" s="84">
        <f t="shared" si="16"/>
        <v>0</v>
      </c>
      <c r="L302" s="84">
        <f t="shared" si="15"/>
        <v>0</v>
      </c>
      <c r="M302" s="84"/>
      <c r="N302" s="98"/>
    </row>
    <row r="303" spans="1:14" ht="48.75" customHeight="1">
      <c r="A303" s="45" t="s">
        <v>50</v>
      </c>
      <c r="B303" s="42" t="s">
        <v>75</v>
      </c>
      <c r="C303" s="42" t="s">
        <v>133</v>
      </c>
      <c r="D303" s="42"/>
      <c r="E303" s="43">
        <f>E304</f>
        <v>21282.9</v>
      </c>
      <c r="F303" s="43">
        <f>F304</f>
        <v>0</v>
      </c>
      <c r="G303" s="43">
        <f>G304</f>
        <v>21282.9</v>
      </c>
      <c r="H303" s="43">
        <f>H304</f>
        <v>19733.8</v>
      </c>
      <c r="I303" s="43">
        <f>I304</f>
        <v>20725</v>
      </c>
      <c r="J303" s="84"/>
      <c r="K303" s="84">
        <f t="shared" si="16"/>
        <v>0</v>
      </c>
      <c r="L303" s="84">
        <f t="shared" si="15"/>
        <v>0</v>
      </c>
      <c r="M303" s="84"/>
      <c r="N303" s="98"/>
    </row>
    <row r="304" spans="1:14" ht="31.5">
      <c r="A304" s="45" t="s">
        <v>10</v>
      </c>
      <c r="B304" s="42" t="s">
        <v>75</v>
      </c>
      <c r="C304" s="42" t="s">
        <v>133</v>
      </c>
      <c r="D304" s="42" t="s">
        <v>11</v>
      </c>
      <c r="E304" s="43">
        <v>21282.9</v>
      </c>
      <c r="F304" s="43"/>
      <c r="G304" s="43">
        <f>E304+F304</f>
        <v>21282.9</v>
      </c>
      <c r="H304" s="43">
        <f>19881.2-65-82.4</f>
        <v>19733.8</v>
      </c>
      <c r="I304" s="43">
        <f>20881.2-65-91.2</f>
        <v>20725</v>
      </c>
      <c r="J304" s="84"/>
      <c r="K304" s="84">
        <f t="shared" si="16"/>
        <v>0</v>
      </c>
      <c r="L304" s="84">
        <f t="shared" si="15"/>
        <v>0</v>
      </c>
      <c r="M304" s="84"/>
      <c r="N304" s="98"/>
    </row>
    <row r="305" spans="1:14" ht="47.25">
      <c r="A305" s="45" t="s">
        <v>272</v>
      </c>
      <c r="B305" s="42" t="s">
        <v>75</v>
      </c>
      <c r="C305" s="42" t="s">
        <v>273</v>
      </c>
      <c r="D305" s="42"/>
      <c r="E305" s="43">
        <f>E306</f>
        <v>7477</v>
      </c>
      <c r="F305" s="43">
        <f>F306</f>
        <v>0</v>
      </c>
      <c r="G305" s="43">
        <f>G306</f>
        <v>7477</v>
      </c>
      <c r="H305" s="43">
        <f>H306</f>
        <v>8236.4</v>
      </c>
      <c r="I305" s="43">
        <f>I306</f>
        <v>9116.5</v>
      </c>
      <c r="J305" s="84"/>
      <c r="K305" s="84">
        <f t="shared" si="16"/>
        <v>0</v>
      </c>
      <c r="L305" s="84">
        <f t="shared" si="15"/>
        <v>0</v>
      </c>
      <c r="M305" s="84"/>
      <c r="N305" s="98"/>
    </row>
    <row r="306" spans="1:14" ht="31.5">
      <c r="A306" s="45" t="s">
        <v>10</v>
      </c>
      <c r="B306" s="42" t="s">
        <v>75</v>
      </c>
      <c r="C306" s="42" t="s">
        <v>273</v>
      </c>
      <c r="D306" s="42" t="s">
        <v>11</v>
      </c>
      <c r="E306" s="43">
        <f>7402.2+74.8</f>
        <v>7477</v>
      </c>
      <c r="F306" s="42"/>
      <c r="G306" s="43">
        <f>7402.2+74.8</f>
        <v>7477</v>
      </c>
      <c r="H306" s="43">
        <f>8154+82.4</f>
        <v>8236.4</v>
      </c>
      <c r="I306" s="43">
        <f>9025.3+91.2</f>
        <v>9116.5</v>
      </c>
      <c r="J306" s="84"/>
      <c r="K306" s="84">
        <f t="shared" si="16"/>
        <v>0</v>
      </c>
      <c r="L306" s="84">
        <f t="shared" si="15"/>
        <v>0</v>
      </c>
      <c r="M306" s="84"/>
      <c r="N306" s="98"/>
    </row>
    <row r="307" spans="1:14" ht="31.5">
      <c r="A307" s="45" t="s">
        <v>261</v>
      </c>
      <c r="B307" s="42" t="s">
        <v>75</v>
      </c>
      <c r="C307" s="42" t="s">
        <v>263</v>
      </c>
      <c r="D307" s="42"/>
      <c r="E307" s="43">
        <f>E308</f>
        <v>130</v>
      </c>
      <c r="F307" s="43">
        <f>F308</f>
        <v>0</v>
      </c>
      <c r="G307" s="43">
        <f>G308</f>
        <v>130</v>
      </c>
      <c r="H307" s="43">
        <f>H308</f>
        <v>130</v>
      </c>
      <c r="I307" s="43">
        <f>I308</f>
        <v>130</v>
      </c>
      <c r="J307" s="84"/>
      <c r="K307" s="84">
        <f t="shared" si="16"/>
        <v>0</v>
      </c>
      <c r="L307" s="84">
        <f t="shared" si="15"/>
        <v>0</v>
      </c>
      <c r="M307" s="84"/>
      <c r="N307" s="98"/>
    </row>
    <row r="308" spans="1:14" ht="31.5">
      <c r="A308" s="45" t="s">
        <v>10</v>
      </c>
      <c r="B308" s="42" t="s">
        <v>75</v>
      </c>
      <c r="C308" s="42" t="s">
        <v>263</v>
      </c>
      <c r="D308" s="42" t="s">
        <v>11</v>
      </c>
      <c r="E308" s="43">
        <f>65+65</f>
        <v>130</v>
      </c>
      <c r="F308" s="42"/>
      <c r="G308" s="43">
        <f>65+65</f>
        <v>130</v>
      </c>
      <c r="H308" s="43">
        <f>65+65</f>
        <v>130</v>
      </c>
      <c r="I308" s="43">
        <f>65+65</f>
        <v>130</v>
      </c>
      <c r="J308" s="84"/>
      <c r="K308" s="84">
        <f t="shared" si="16"/>
        <v>0</v>
      </c>
      <c r="L308" s="84">
        <f t="shared" si="15"/>
        <v>0</v>
      </c>
      <c r="M308" s="84"/>
      <c r="N308" s="98"/>
    </row>
    <row r="309" spans="1:14" ht="47.25">
      <c r="A309" s="45" t="s">
        <v>439</v>
      </c>
      <c r="B309" s="42" t="s">
        <v>75</v>
      </c>
      <c r="C309" s="42" t="s">
        <v>438</v>
      </c>
      <c r="D309" s="42"/>
      <c r="E309" s="43">
        <f>E310</f>
        <v>115</v>
      </c>
      <c r="F309" s="43">
        <f>F310</f>
        <v>0</v>
      </c>
      <c r="G309" s="43">
        <f>G310</f>
        <v>115</v>
      </c>
      <c r="H309" s="43">
        <f>H310</f>
        <v>0</v>
      </c>
      <c r="I309" s="43">
        <f>I310</f>
        <v>0</v>
      </c>
      <c r="J309" s="84"/>
      <c r="K309" s="84">
        <f t="shared" si="16"/>
        <v>0</v>
      </c>
      <c r="L309" s="84">
        <f t="shared" si="15"/>
        <v>0</v>
      </c>
      <c r="M309" s="84"/>
      <c r="N309" s="98"/>
    </row>
    <row r="310" spans="1:14" ht="31.5">
      <c r="A310" s="45" t="s">
        <v>10</v>
      </c>
      <c r="B310" s="42" t="s">
        <v>75</v>
      </c>
      <c r="C310" s="42" t="s">
        <v>438</v>
      </c>
      <c r="D310" s="42" t="s">
        <v>11</v>
      </c>
      <c r="E310" s="43">
        <v>115</v>
      </c>
      <c r="F310" s="43"/>
      <c r="G310" s="43">
        <f>E310+F310</f>
        <v>115</v>
      </c>
      <c r="H310" s="43">
        <v>0</v>
      </c>
      <c r="I310" s="43">
        <v>0</v>
      </c>
      <c r="J310" s="84"/>
      <c r="K310" s="84">
        <f t="shared" si="16"/>
        <v>0</v>
      </c>
      <c r="L310" s="84">
        <f t="shared" si="15"/>
        <v>0</v>
      </c>
      <c r="M310" s="84"/>
      <c r="N310" s="98"/>
    </row>
    <row r="311" spans="1:14" ht="15.75">
      <c r="A311" s="45" t="s">
        <v>181</v>
      </c>
      <c r="B311" s="42" t="s">
        <v>75</v>
      </c>
      <c r="C311" s="42" t="s">
        <v>182</v>
      </c>
      <c r="D311" s="42"/>
      <c r="E311" s="43">
        <f>E312</f>
        <v>20</v>
      </c>
      <c r="F311" s="43">
        <f>F312</f>
        <v>0</v>
      </c>
      <c r="G311" s="43">
        <f>G312</f>
        <v>20</v>
      </c>
      <c r="H311" s="43">
        <f>H312</f>
        <v>20</v>
      </c>
      <c r="I311" s="43">
        <f>I312</f>
        <v>20</v>
      </c>
      <c r="J311" s="84"/>
      <c r="K311" s="84">
        <f t="shared" si="16"/>
        <v>0</v>
      </c>
      <c r="L311" s="84">
        <f t="shared" si="15"/>
        <v>0</v>
      </c>
      <c r="M311" s="84"/>
      <c r="N311" s="98"/>
    </row>
    <row r="312" spans="1:13" ht="15.75">
      <c r="A312" s="45" t="s">
        <v>27</v>
      </c>
      <c r="B312" s="42" t="s">
        <v>75</v>
      </c>
      <c r="C312" s="42" t="s">
        <v>182</v>
      </c>
      <c r="D312" s="42" t="s">
        <v>16</v>
      </c>
      <c r="E312" s="43">
        <v>20</v>
      </c>
      <c r="F312" s="42"/>
      <c r="G312" s="43">
        <v>20</v>
      </c>
      <c r="H312" s="43">
        <v>20</v>
      </c>
      <c r="I312" s="43">
        <v>20</v>
      </c>
      <c r="J312" s="84"/>
      <c r="K312" s="84">
        <f t="shared" si="16"/>
        <v>0</v>
      </c>
      <c r="L312" s="84">
        <f t="shared" si="15"/>
        <v>0</v>
      </c>
      <c r="M312" s="84"/>
    </row>
    <row r="313" spans="1:13" ht="63">
      <c r="A313" s="45" t="s">
        <v>436</v>
      </c>
      <c r="B313" s="42" t="s">
        <v>75</v>
      </c>
      <c r="C313" s="42" t="s">
        <v>448</v>
      </c>
      <c r="D313" s="42"/>
      <c r="E313" s="43">
        <f>E314</f>
        <v>8379.2</v>
      </c>
      <c r="F313" s="43">
        <f>F314</f>
        <v>0</v>
      </c>
      <c r="G313" s="43">
        <f>G314</f>
        <v>8379.2</v>
      </c>
      <c r="H313" s="43">
        <f>H314</f>
        <v>0</v>
      </c>
      <c r="I313" s="43">
        <f>I314</f>
        <v>0</v>
      </c>
      <c r="J313" s="84"/>
      <c r="K313" s="84">
        <f t="shared" si="16"/>
        <v>0</v>
      </c>
      <c r="L313" s="84">
        <f t="shared" si="15"/>
        <v>0</v>
      </c>
      <c r="M313" s="84"/>
    </row>
    <row r="314" spans="1:13" ht="31.5">
      <c r="A314" s="45" t="s">
        <v>10</v>
      </c>
      <c r="B314" s="42" t="s">
        <v>75</v>
      </c>
      <c r="C314" s="42" t="s">
        <v>448</v>
      </c>
      <c r="D314" s="42" t="s">
        <v>11</v>
      </c>
      <c r="E314" s="43">
        <v>8379.2</v>
      </c>
      <c r="F314" s="43"/>
      <c r="G314" s="43">
        <f>E314+F314</f>
        <v>8379.2</v>
      </c>
      <c r="H314" s="43">
        <v>0</v>
      </c>
      <c r="I314" s="43">
        <v>0</v>
      </c>
      <c r="J314" s="84"/>
      <c r="K314" s="84">
        <f t="shared" si="16"/>
        <v>0</v>
      </c>
      <c r="L314" s="84">
        <f t="shared" si="15"/>
        <v>0</v>
      </c>
      <c r="M314" s="84"/>
    </row>
    <row r="315" spans="1:13" ht="15.75">
      <c r="A315" s="45" t="s">
        <v>22</v>
      </c>
      <c r="B315" s="42" t="s">
        <v>75</v>
      </c>
      <c r="C315" s="42" t="s">
        <v>134</v>
      </c>
      <c r="D315" s="42"/>
      <c r="E315" s="43">
        <f>E317+E316+E318</f>
        <v>9535.6</v>
      </c>
      <c r="F315" s="43">
        <f>F317+F316+F318</f>
        <v>0</v>
      </c>
      <c r="G315" s="43">
        <f>G317+G316+G318</f>
        <v>9535.6</v>
      </c>
      <c r="H315" s="43">
        <f>H317+H316+H318</f>
        <v>9535.6</v>
      </c>
      <c r="I315" s="43">
        <f>I317+I316+I318</f>
        <v>9535.6</v>
      </c>
      <c r="J315" s="84"/>
      <c r="K315" s="84">
        <f t="shared" si="16"/>
        <v>0</v>
      </c>
      <c r="L315" s="84">
        <f t="shared" si="15"/>
        <v>0</v>
      </c>
      <c r="M315" s="84"/>
    </row>
    <row r="316" spans="1:13" ht="63">
      <c r="A316" s="45" t="s">
        <v>14</v>
      </c>
      <c r="B316" s="42" t="s">
        <v>75</v>
      </c>
      <c r="C316" s="42" t="s">
        <v>134</v>
      </c>
      <c r="D316" s="42" t="s">
        <v>15</v>
      </c>
      <c r="E316" s="43">
        <v>8439.7</v>
      </c>
      <c r="F316" s="42"/>
      <c r="G316" s="43">
        <v>8439.7</v>
      </c>
      <c r="H316" s="43">
        <v>8439.7</v>
      </c>
      <c r="I316" s="43">
        <v>8439.7</v>
      </c>
      <c r="J316" s="84"/>
      <c r="K316" s="84">
        <f t="shared" si="16"/>
        <v>0</v>
      </c>
      <c r="L316" s="84">
        <f t="shared" si="15"/>
        <v>0</v>
      </c>
      <c r="M316" s="84"/>
    </row>
    <row r="317" spans="1:13" ht="47.25">
      <c r="A317" s="45" t="s">
        <v>453</v>
      </c>
      <c r="B317" s="42" t="s">
        <v>75</v>
      </c>
      <c r="C317" s="42" t="s">
        <v>134</v>
      </c>
      <c r="D317" s="42" t="s">
        <v>8</v>
      </c>
      <c r="E317" s="43">
        <v>1077.1</v>
      </c>
      <c r="F317" s="42"/>
      <c r="G317" s="43">
        <v>1077.1</v>
      </c>
      <c r="H317" s="43">
        <v>1077.1</v>
      </c>
      <c r="I317" s="43">
        <v>1077.1</v>
      </c>
      <c r="J317" s="84"/>
      <c r="K317" s="84">
        <f t="shared" si="16"/>
        <v>0</v>
      </c>
      <c r="L317" s="84">
        <f t="shared" si="15"/>
        <v>0</v>
      </c>
      <c r="M317" s="84"/>
    </row>
    <row r="318" spans="1:13" ht="15.75">
      <c r="A318" s="45" t="s">
        <v>9</v>
      </c>
      <c r="B318" s="42" t="s">
        <v>75</v>
      </c>
      <c r="C318" s="42" t="s">
        <v>134</v>
      </c>
      <c r="D318" s="42" t="s">
        <v>12</v>
      </c>
      <c r="E318" s="43">
        <v>18.8</v>
      </c>
      <c r="F318" s="42"/>
      <c r="G318" s="43">
        <v>18.8</v>
      </c>
      <c r="H318" s="43">
        <v>18.8</v>
      </c>
      <c r="I318" s="43">
        <v>18.8</v>
      </c>
      <c r="J318" s="84"/>
      <c r="K318" s="84">
        <f t="shared" si="16"/>
        <v>0</v>
      </c>
      <c r="L318" s="84">
        <f t="shared" si="15"/>
        <v>0</v>
      </c>
      <c r="M318" s="84"/>
    </row>
    <row r="319" spans="1:13" ht="31.5">
      <c r="A319" s="45" t="s">
        <v>48</v>
      </c>
      <c r="B319" s="42" t="s">
        <v>75</v>
      </c>
      <c r="C319" s="42" t="s">
        <v>379</v>
      </c>
      <c r="D319" s="42"/>
      <c r="E319" s="43">
        <f>E320+E321+E322</f>
        <v>9803.1</v>
      </c>
      <c r="F319" s="43">
        <f>F320+F321+F322</f>
        <v>0</v>
      </c>
      <c r="G319" s="43">
        <f>G320+G321+G322</f>
        <v>9803.1</v>
      </c>
      <c r="H319" s="43">
        <f>H320+H321+H322</f>
        <v>9803.1</v>
      </c>
      <c r="I319" s="43">
        <f>I320+I321+I322</f>
        <v>9803.1</v>
      </c>
      <c r="J319" s="84"/>
      <c r="K319" s="84">
        <f t="shared" si="16"/>
        <v>0</v>
      </c>
      <c r="L319" s="84">
        <f t="shared" si="15"/>
        <v>0</v>
      </c>
      <c r="M319" s="84"/>
    </row>
    <row r="320" spans="1:13" ht="63">
      <c r="A320" s="45" t="s">
        <v>14</v>
      </c>
      <c r="B320" s="42" t="s">
        <v>75</v>
      </c>
      <c r="C320" s="42" t="s">
        <v>379</v>
      </c>
      <c r="D320" s="42" t="s">
        <v>15</v>
      </c>
      <c r="E320" s="37">
        <v>9087.9</v>
      </c>
      <c r="F320" s="42"/>
      <c r="G320" s="37">
        <v>9087.9</v>
      </c>
      <c r="H320" s="37">
        <v>9087.9</v>
      </c>
      <c r="I320" s="37">
        <v>9087.9</v>
      </c>
      <c r="J320" s="84"/>
      <c r="K320" s="84">
        <f t="shared" si="16"/>
        <v>0</v>
      </c>
      <c r="L320" s="84">
        <f t="shared" si="15"/>
        <v>0</v>
      </c>
      <c r="M320" s="84"/>
    </row>
    <row r="321" spans="1:13" ht="47.25">
      <c r="A321" s="45" t="s">
        <v>453</v>
      </c>
      <c r="B321" s="42" t="s">
        <v>75</v>
      </c>
      <c r="C321" s="42" t="s">
        <v>379</v>
      </c>
      <c r="D321" s="42" t="s">
        <v>8</v>
      </c>
      <c r="E321" s="37">
        <v>712.7</v>
      </c>
      <c r="F321" s="42"/>
      <c r="G321" s="37">
        <v>712.7</v>
      </c>
      <c r="H321" s="37">
        <v>712.7</v>
      </c>
      <c r="I321" s="37">
        <v>712.7</v>
      </c>
      <c r="J321" s="84"/>
      <c r="K321" s="84">
        <f t="shared" si="16"/>
        <v>0</v>
      </c>
      <c r="L321" s="84">
        <f t="shared" si="15"/>
        <v>0</v>
      </c>
      <c r="M321" s="84"/>
    </row>
    <row r="322" spans="1:13" ht="15.75">
      <c r="A322" s="45" t="s">
        <v>9</v>
      </c>
      <c r="B322" s="42" t="s">
        <v>75</v>
      </c>
      <c r="C322" s="42" t="s">
        <v>379</v>
      </c>
      <c r="D322" s="42" t="s">
        <v>12</v>
      </c>
      <c r="E322" s="37">
        <v>2.5</v>
      </c>
      <c r="F322" s="42"/>
      <c r="G322" s="37">
        <v>2.5</v>
      </c>
      <c r="H322" s="37">
        <v>2.5</v>
      </c>
      <c r="I322" s="37">
        <v>2.5</v>
      </c>
      <c r="J322" s="84"/>
      <c r="K322" s="84">
        <f t="shared" si="16"/>
        <v>0</v>
      </c>
      <c r="L322" s="84">
        <f t="shared" si="15"/>
        <v>0</v>
      </c>
      <c r="M322" s="84"/>
    </row>
    <row r="323" spans="1:13" ht="15.75">
      <c r="A323" s="70" t="s">
        <v>30</v>
      </c>
      <c r="B323" s="72" t="s">
        <v>76</v>
      </c>
      <c r="C323" s="72" t="s">
        <v>96</v>
      </c>
      <c r="D323" s="72"/>
      <c r="E323" s="73">
        <f aca="true" t="shared" si="18" ref="E323:I324">E324</f>
        <v>805.5</v>
      </c>
      <c r="F323" s="73">
        <f t="shared" si="18"/>
        <v>0</v>
      </c>
      <c r="G323" s="73">
        <f t="shared" si="18"/>
        <v>805.5</v>
      </c>
      <c r="H323" s="73">
        <f t="shared" si="18"/>
        <v>805.5</v>
      </c>
      <c r="I323" s="73">
        <f t="shared" si="18"/>
        <v>805.5</v>
      </c>
      <c r="J323" s="84"/>
      <c r="K323" s="84">
        <f t="shared" si="16"/>
        <v>0</v>
      </c>
      <c r="L323" s="84">
        <f t="shared" si="15"/>
        <v>0</v>
      </c>
      <c r="M323" s="84"/>
    </row>
    <row r="324" spans="1:13" ht="63">
      <c r="A324" s="45" t="s">
        <v>190</v>
      </c>
      <c r="B324" s="42" t="s">
        <v>75</v>
      </c>
      <c r="C324" s="42" t="s">
        <v>189</v>
      </c>
      <c r="D324" s="42"/>
      <c r="E324" s="43">
        <f t="shared" si="18"/>
        <v>805.5</v>
      </c>
      <c r="F324" s="43">
        <f t="shared" si="18"/>
        <v>0</v>
      </c>
      <c r="G324" s="43">
        <f t="shared" si="18"/>
        <v>805.5</v>
      </c>
      <c r="H324" s="43">
        <f t="shared" si="18"/>
        <v>805.5</v>
      </c>
      <c r="I324" s="43">
        <f t="shared" si="18"/>
        <v>805.5</v>
      </c>
      <c r="J324" s="84"/>
      <c r="K324" s="84">
        <f t="shared" si="16"/>
        <v>0</v>
      </c>
      <c r="L324" s="84">
        <f t="shared" si="15"/>
        <v>0</v>
      </c>
      <c r="M324" s="84"/>
    </row>
    <row r="325" spans="1:13" ht="31.5">
      <c r="A325" s="45" t="s">
        <v>10</v>
      </c>
      <c r="B325" s="42" t="s">
        <v>75</v>
      </c>
      <c r="C325" s="42" t="s">
        <v>189</v>
      </c>
      <c r="D325" s="42" t="s">
        <v>11</v>
      </c>
      <c r="E325" s="43">
        <v>805.5</v>
      </c>
      <c r="F325" s="42"/>
      <c r="G325" s="43">
        <v>805.5</v>
      </c>
      <c r="H325" s="43">
        <v>805.5</v>
      </c>
      <c r="I325" s="43">
        <v>805.5</v>
      </c>
      <c r="J325" s="84"/>
      <c r="K325" s="84">
        <f t="shared" si="16"/>
        <v>0</v>
      </c>
      <c r="L325" s="84">
        <f t="shared" si="15"/>
        <v>0</v>
      </c>
      <c r="M325" s="84"/>
    </row>
    <row r="326" spans="1:13" ht="31.5">
      <c r="A326" s="177" t="s">
        <v>77</v>
      </c>
      <c r="B326" s="33" t="s">
        <v>78</v>
      </c>
      <c r="C326" s="75"/>
      <c r="D326" s="79"/>
      <c r="E326" s="31">
        <f>E327+E349+E363</f>
        <v>42133.700000000004</v>
      </c>
      <c r="F326" s="31">
        <f>F327+F349+F363</f>
        <v>24039.6</v>
      </c>
      <c r="G326" s="31">
        <f>G327+G349+G363</f>
        <v>66173.29999999999</v>
      </c>
      <c r="H326" s="31">
        <f>H327+H349</f>
        <v>30301.000000000004</v>
      </c>
      <c r="I326" s="31">
        <f>I327+I349</f>
        <v>29124.2</v>
      </c>
      <c r="J326" s="84"/>
      <c r="K326" s="84">
        <f t="shared" si="16"/>
        <v>24039.599999999984</v>
      </c>
      <c r="L326" s="84">
        <f t="shared" si="15"/>
        <v>0</v>
      </c>
      <c r="M326" s="84"/>
    </row>
    <row r="327" spans="1:13" ht="31.5">
      <c r="A327" s="174" t="s">
        <v>297</v>
      </c>
      <c r="B327" s="72" t="s">
        <v>78</v>
      </c>
      <c r="C327" s="71" t="s">
        <v>173</v>
      </c>
      <c r="D327" s="71" t="s">
        <v>0</v>
      </c>
      <c r="E327" s="77">
        <f>E328</f>
        <v>12000.9</v>
      </c>
      <c r="F327" s="77">
        <f>F328</f>
        <v>24095.6</v>
      </c>
      <c r="G327" s="77">
        <f>G328</f>
        <v>36096.5</v>
      </c>
      <c r="H327" s="77">
        <f>H328</f>
        <v>3608.8</v>
      </c>
      <c r="I327" s="77">
        <f>I328</f>
        <v>1661.2</v>
      </c>
      <c r="J327" s="84"/>
      <c r="K327" s="84">
        <f t="shared" si="16"/>
        <v>24095.6</v>
      </c>
      <c r="L327" s="84">
        <f t="shared" si="15"/>
        <v>0</v>
      </c>
      <c r="M327" s="84"/>
    </row>
    <row r="328" spans="1:13" ht="31.5">
      <c r="A328" s="175" t="s">
        <v>454</v>
      </c>
      <c r="B328" s="78" t="s">
        <v>78</v>
      </c>
      <c r="C328" s="11" t="s">
        <v>175</v>
      </c>
      <c r="D328" s="11" t="s">
        <v>0</v>
      </c>
      <c r="E328" s="119">
        <f>E341+E345+E347+E329+E337+E333+E335+E343+E339+E331</f>
        <v>12000.9</v>
      </c>
      <c r="F328" s="119">
        <f>F341+F345+F347+F329+F337+F333+F335+F343+F339+F331</f>
        <v>24095.6</v>
      </c>
      <c r="G328" s="119">
        <f>G341+G345+G347+G329+G337+G333+G335+G343+G339+G331</f>
        <v>36096.5</v>
      </c>
      <c r="H328" s="119">
        <f>H341+H345+H347+H329+H337+H333+H335+H343+H339+H331</f>
        <v>3608.8</v>
      </c>
      <c r="I328" s="119">
        <f>I341+I345+I347+I329+I337+I333+I335+I343+I339+I331</f>
        <v>1661.2</v>
      </c>
      <c r="J328" s="84"/>
      <c r="K328" s="84">
        <f t="shared" si="16"/>
        <v>24095.6</v>
      </c>
      <c r="L328" s="84">
        <f t="shared" si="15"/>
        <v>0</v>
      </c>
      <c r="M328" s="84"/>
    </row>
    <row r="329" spans="1:13" ht="31.5">
      <c r="A329" s="45" t="s">
        <v>276</v>
      </c>
      <c r="B329" s="27" t="s">
        <v>78</v>
      </c>
      <c r="C329" s="35" t="s">
        <v>399</v>
      </c>
      <c r="D329" s="35"/>
      <c r="E329" s="135">
        <f>E330</f>
        <v>67.8</v>
      </c>
      <c r="F329" s="140">
        <f>F330</f>
        <v>0</v>
      </c>
      <c r="G329" s="135">
        <f>G330</f>
        <v>67.8</v>
      </c>
      <c r="H329" s="135">
        <f>H330</f>
        <v>0</v>
      </c>
      <c r="I329" s="135">
        <f>I330</f>
        <v>0</v>
      </c>
      <c r="J329" s="84"/>
      <c r="K329" s="84">
        <f t="shared" si="16"/>
        <v>0</v>
      </c>
      <c r="L329" s="84">
        <f t="shared" si="15"/>
        <v>0</v>
      </c>
      <c r="M329" s="84"/>
    </row>
    <row r="330" spans="1:13" ht="47.25">
      <c r="A330" s="45" t="s">
        <v>453</v>
      </c>
      <c r="B330" s="27" t="s">
        <v>78</v>
      </c>
      <c r="C330" s="35" t="s">
        <v>399</v>
      </c>
      <c r="D330" s="35" t="s">
        <v>8</v>
      </c>
      <c r="E330" s="135">
        <v>67.8</v>
      </c>
      <c r="F330" s="140"/>
      <c r="G330" s="135">
        <f>E330+F330</f>
        <v>67.8</v>
      </c>
      <c r="H330" s="135">
        <v>0</v>
      </c>
      <c r="I330" s="135">
        <v>0</v>
      </c>
      <c r="J330" s="84"/>
      <c r="K330" s="84">
        <f t="shared" si="16"/>
        <v>0</v>
      </c>
      <c r="L330" s="84">
        <f t="shared" si="15"/>
        <v>0</v>
      </c>
      <c r="M330" s="84"/>
    </row>
    <row r="331" spans="1:13" ht="94.5">
      <c r="A331" s="45" t="s">
        <v>466</v>
      </c>
      <c r="B331" s="27" t="s">
        <v>78</v>
      </c>
      <c r="C331" s="35" t="s">
        <v>465</v>
      </c>
      <c r="D331" s="35"/>
      <c r="E331" s="135">
        <f>E332</f>
        <v>0</v>
      </c>
      <c r="F331" s="135">
        <f>F332</f>
        <v>10360.8</v>
      </c>
      <c r="G331" s="135">
        <f>G332</f>
        <v>10360.8</v>
      </c>
      <c r="H331" s="135">
        <f>H332</f>
        <v>0</v>
      </c>
      <c r="I331" s="135">
        <f>I332</f>
        <v>0</v>
      </c>
      <c r="J331" s="84"/>
      <c r="K331" s="84"/>
      <c r="L331" s="84"/>
      <c r="M331" s="84"/>
    </row>
    <row r="332" spans="1:13" ht="15.75">
      <c r="A332" s="45" t="s">
        <v>9</v>
      </c>
      <c r="B332" s="27" t="s">
        <v>78</v>
      </c>
      <c r="C332" s="35" t="s">
        <v>465</v>
      </c>
      <c r="D332" s="35" t="s">
        <v>12</v>
      </c>
      <c r="E332" s="135"/>
      <c r="F332" s="140">
        <v>10360.8</v>
      </c>
      <c r="G332" s="135">
        <f>E332+F332</f>
        <v>10360.8</v>
      </c>
      <c r="H332" s="135">
        <v>0</v>
      </c>
      <c r="I332" s="135">
        <v>0</v>
      </c>
      <c r="J332" s="84"/>
      <c r="K332" s="84"/>
      <c r="L332" s="84"/>
      <c r="M332" s="84"/>
    </row>
    <row r="333" spans="1:13" ht="110.25">
      <c r="A333" s="45" t="s">
        <v>427</v>
      </c>
      <c r="B333" s="42" t="s">
        <v>78</v>
      </c>
      <c r="C333" s="42" t="s">
        <v>428</v>
      </c>
      <c r="D333" s="35"/>
      <c r="E333" s="135">
        <f>E334</f>
        <v>1241.8</v>
      </c>
      <c r="F333" s="135">
        <f>F334</f>
        <v>0</v>
      </c>
      <c r="G333" s="135">
        <f>G334</f>
        <v>1241.8</v>
      </c>
      <c r="H333" s="135">
        <f>H334</f>
        <v>0</v>
      </c>
      <c r="I333" s="135">
        <f>I334</f>
        <v>0</v>
      </c>
      <c r="J333" s="84"/>
      <c r="K333" s="84">
        <f t="shared" si="16"/>
        <v>0</v>
      </c>
      <c r="L333" s="84">
        <f t="shared" si="15"/>
        <v>0</v>
      </c>
      <c r="M333" s="84"/>
    </row>
    <row r="334" spans="1:13" ht="15.75">
      <c r="A334" s="45" t="s">
        <v>9</v>
      </c>
      <c r="B334" s="42" t="s">
        <v>78</v>
      </c>
      <c r="C334" s="42" t="s">
        <v>428</v>
      </c>
      <c r="D334" s="42" t="s">
        <v>12</v>
      </c>
      <c r="E334" s="135">
        <v>1241.8</v>
      </c>
      <c r="F334" s="135"/>
      <c r="G334" s="135">
        <f>E334+F334</f>
        <v>1241.8</v>
      </c>
      <c r="H334" s="135"/>
      <c r="I334" s="135"/>
      <c r="J334" s="84"/>
      <c r="K334" s="84">
        <f t="shared" si="16"/>
        <v>0</v>
      </c>
      <c r="L334" s="84">
        <f t="shared" si="15"/>
        <v>0</v>
      </c>
      <c r="M334" s="84"/>
    </row>
    <row r="335" spans="1:13" ht="94.5">
      <c r="A335" s="45" t="s">
        <v>429</v>
      </c>
      <c r="B335" s="42" t="s">
        <v>78</v>
      </c>
      <c r="C335" s="42" t="s">
        <v>460</v>
      </c>
      <c r="D335" s="42"/>
      <c r="E335" s="135">
        <f>E336</f>
        <v>542</v>
      </c>
      <c r="F335" s="135">
        <f>F336</f>
        <v>0</v>
      </c>
      <c r="G335" s="135">
        <f>G336</f>
        <v>542</v>
      </c>
      <c r="H335" s="135">
        <f>H336</f>
        <v>0</v>
      </c>
      <c r="I335" s="135">
        <f>I336</f>
        <v>0</v>
      </c>
      <c r="J335" s="84"/>
      <c r="K335" s="84">
        <f t="shared" si="16"/>
        <v>0</v>
      </c>
      <c r="L335" s="84">
        <f t="shared" si="15"/>
        <v>0</v>
      </c>
      <c r="M335" s="84"/>
    </row>
    <row r="336" spans="1:13" ht="15.75">
      <c r="A336" s="45" t="s">
        <v>9</v>
      </c>
      <c r="B336" s="42" t="s">
        <v>78</v>
      </c>
      <c r="C336" s="42" t="s">
        <v>460</v>
      </c>
      <c r="D336" s="42" t="s">
        <v>12</v>
      </c>
      <c r="E336" s="135">
        <v>542</v>
      </c>
      <c r="F336" s="135"/>
      <c r="G336" s="135">
        <f>E336+F336</f>
        <v>542</v>
      </c>
      <c r="H336" s="135"/>
      <c r="I336" s="135"/>
      <c r="J336" s="84"/>
      <c r="K336" s="84">
        <f t="shared" si="16"/>
        <v>0</v>
      </c>
      <c r="L336" s="84">
        <f t="shared" si="15"/>
        <v>0</v>
      </c>
      <c r="M336" s="84"/>
    </row>
    <row r="337" spans="1:13" ht="94.5">
      <c r="A337" s="45" t="s">
        <v>414</v>
      </c>
      <c r="B337" s="42" t="s">
        <v>78</v>
      </c>
      <c r="C337" s="21" t="s">
        <v>426</v>
      </c>
      <c r="D337" s="21"/>
      <c r="E337" s="135">
        <f>E338</f>
        <v>521.6</v>
      </c>
      <c r="F337" s="135">
        <f>F338</f>
        <v>0</v>
      </c>
      <c r="G337" s="135">
        <f>G338</f>
        <v>521.6</v>
      </c>
      <c r="H337" s="135">
        <f>H338</f>
        <v>0</v>
      </c>
      <c r="I337" s="135">
        <f>I338</f>
        <v>0</v>
      </c>
      <c r="J337" s="84"/>
      <c r="K337" s="84">
        <f t="shared" si="16"/>
        <v>0</v>
      </c>
      <c r="L337" s="84">
        <f t="shared" si="15"/>
        <v>0</v>
      </c>
      <c r="M337" s="84"/>
    </row>
    <row r="338" spans="1:13" ht="15.75">
      <c r="A338" s="45" t="s">
        <v>9</v>
      </c>
      <c r="B338" s="42" t="s">
        <v>78</v>
      </c>
      <c r="C338" s="21" t="s">
        <v>426</v>
      </c>
      <c r="D338" s="21" t="s">
        <v>12</v>
      </c>
      <c r="E338" s="135">
        <v>521.6</v>
      </c>
      <c r="F338" s="135"/>
      <c r="G338" s="135">
        <f>E338+F338</f>
        <v>521.6</v>
      </c>
      <c r="H338" s="135">
        <v>0</v>
      </c>
      <c r="I338" s="135">
        <v>0</v>
      </c>
      <c r="J338" s="84"/>
      <c r="K338" s="84">
        <f t="shared" si="16"/>
        <v>0</v>
      </c>
      <c r="L338" s="84">
        <f t="shared" si="15"/>
        <v>0</v>
      </c>
      <c r="M338" s="84"/>
    </row>
    <row r="339" spans="1:13" ht="47.25">
      <c r="A339" s="180" t="s">
        <v>462</v>
      </c>
      <c r="B339" s="42" t="s">
        <v>78</v>
      </c>
      <c r="C339" s="21" t="s">
        <v>461</v>
      </c>
      <c r="D339" s="21"/>
      <c r="E339" s="135">
        <f>E340</f>
        <v>0</v>
      </c>
      <c r="F339" s="135">
        <f>F340</f>
        <v>56</v>
      </c>
      <c r="G339" s="135">
        <f>G340</f>
        <v>56</v>
      </c>
      <c r="H339" s="135">
        <f>H340</f>
        <v>0</v>
      </c>
      <c r="I339" s="135">
        <f>I340</f>
        <v>0</v>
      </c>
      <c r="J339" s="84"/>
      <c r="K339" s="84"/>
      <c r="L339" s="84">
        <f aca="true" t="shared" si="19" ref="L339:L402">E339+F339-G339</f>
        <v>0</v>
      </c>
      <c r="M339" s="84"/>
    </row>
    <row r="340" spans="1:13" ht="47.25">
      <c r="A340" s="45" t="s">
        <v>453</v>
      </c>
      <c r="B340" s="42" t="s">
        <v>78</v>
      </c>
      <c r="C340" s="21" t="s">
        <v>461</v>
      </c>
      <c r="D340" s="21" t="s">
        <v>8</v>
      </c>
      <c r="E340" s="135"/>
      <c r="F340" s="135">
        <v>56</v>
      </c>
      <c r="G340" s="135">
        <f>E340+F340</f>
        <v>56</v>
      </c>
      <c r="H340" s="135">
        <v>0</v>
      </c>
      <c r="I340" s="135">
        <v>0</v>
      </c>
      <c r="J340" s="84"/>
      <c r="K340" s="84"/>
      <c r="L340" s="84">
        <f t="shared" si="19"/>
        <v>0</v>
      </c>
      <c r="M340" s="84"/>
    </row>
    <row r="341" spans="1:13" ht="74.25" customHeight="1">
      <c r="A341" s="45" t="s">
        <v>335</v>
      </c>
      <c r="B341" s="42" t="s">
        <v>78</v>
      </c>
      <c r="C341" s="21" t="s">
        <v>374</v>
      </c>
      <c r="D341" s="21"/>
      <c r="E341" s="43">
        <f>E342</f>
        <v>1545.6</v>
      </c>
      <c r="F341" s="141">
        <f>F342</f>
        <v>13678.8</v>
      </c>
      <c r="G341" s="43">
        <f>G342</f>
        <v>15224.4</v>
      </c>
      <c r="H341" s="43">
        <f>H342</f>
        <v>0</v>
      </c>
      <c r="I341" s="43">
        <f>I342</f>
        <v>0</v>
      </c>
      <c r="J341" s="84"/>
      <c r="K341" s="84">
        <f t="shared" si="16"/>
        <v>13678.8</v>
      </c>
      <c r="L341" s="84">
        <f t="shared" si="19"/>
        <v>0</v>
      </c>
      <c r="M341" s="84"/>
    </row>
    <row r="342" spans="1:13" ht="15.75">
      <c r="A342" s="45" t="s">
        <v>9</v>
      </c>
      <c r="B342" s="42" t="s">
        <v>78</v>
      </c>
      <c r="C342" s="21" t="s">
        <v>374</v>
      </c>
      <c r="D342" s="21" t="s">
        <v>12</v>
      </c>
      <c r="E342" s="43">
        <v>1545.6</v>
      </c>
      <c r="F342" s="183">
        <v>13678.8</v>
      </c>
      <c r="G342" s="135">
        <f>E342+F342</f>
        <v>15224.4</v>
      </c>
      <c r="H342" s="20">
        <v>0</v>
      </c>
      <c r="I342" s="20">
        <v>0</v>
      </c>
      <c r="J342" s="84"/>
      <c r="K342" s="84">
        <f t="shared" si="16"/>
        <v>13678.8</v>
      </c>
      <c r="L342" s="84">
        <f t="shared" si="19"/>
        <v>0</v>
      </c>
      <c r="M342" s="84"/>
    </row>
    <row r="343" spans="1:13" ht="31.5">
      <c r="A343" s="45" t="s">
        <v>276</v>
      </c>
      <c r="B343" s="27" t="s">
        <v>78</v>
      </c>
      <c r="C343" s="35" t="s">
        <v>430</v>
      </c>
      <c r="D343" s="21"/>
      <c r="E343" s="43">
        <f>E344</f>
        <v>7678</v>
      </c>
      <c r="F343" s="43">
        <f>F344</f>
        <v>0</v>
      </c>
      <c r="G343" s="43">
        <f>G344</f>
        <v>7678</v>
      </c>
      <c r="H343" s="43">
        <f>H344</f>
        <v>0</v>
      </c>
      <c r="I343" s="43">
        <f>I344</f>
        <v>0</v>
      </c>
      <c r="J343" s="84"/>
      <c r="K343" s="84">
        <f aca="true" t="shared" si="20" ref="K343:K408">G343-E343</f>
        <v>0</v>
      </c>
      <c r="L343" s="84">
        <f t="shared" si="19"/>
        <v>0</v>
      </c>
      <c r="M343" s="84"/>
    </row>
    <row r="344" spans="1:13" ht="15.75">
      <c r="A344" s="45" t="s">
        <v>9</v>
      </c>
      <c r="B344" s="27" t="s">
        <v>78</v>
      </c>
      <c r="C344" s="35" t="s">
        <v>430</v>
      </c>
      <c r="D344" s="35" t="s">
        <v>12</v>
      </c>
      <c r="E344" s="43">
        <v>7678</v>
      </c>
      <c r="F344" s="146"/>
      <c r="G344" s="135">
        <f>E344+F344</f>
        <v>7678</v>
      </c>
      <c r="H344" s="20">
        <v>0</v>
      </c>
      <c r="I344" s="20">
        <v>0</v>
      </c>
      <c r="J344" s="84"/>
      <c r="K344" s="84">
        <f t="shared" si="20"/>
        <v>0</v>
      </c>
      <c r="L344" s="84">
        <f t="shared" si="19"/>
        <v>0</v>
      </c>
      <c r="M344" s="84"/>
    </row>
    <row r="345" spans="1:13" ht="44.25" customHeight="1">
      <c r="A345" s="45" t="s">
        <v>276</v>
      </c>
      <c r="B345" s="27" t="s">
        <v>78</v>
      </c>
      <c r="C345" s="35" t="s">
        <v>282</v>
      </c>
      <c r="D345" s="35"/>
      <c r="E345" s="36">
        <f>E346</f>
        <v>323.3</v>
      </c>
      <c r="F345" s="36">
        <f>F346</f>
        <v>0</v>
      </c>
      <c r="G345" s="36">
        <f>G346</f>
        <v>323.3</v>
      </c>
      <c r="H345" s="36">
        <f>H346</f>
        <v>2596.7000000000003</v>
      </c>
      <c r="I345" s="36">
        <f>I346</f>
        <v>1661.2</v>
      </c>
      <c r="J345" s="84"/>
      <c r="K345" s="84">
        <f t="shared" si="20"/>
        <v>0</v>
      </c>
      <c r="L345" s="84">
        <f t="shared" si="19"/>
        <v>0</v>
      </c>
      <c r="M345" s="84"/>
    </row>
    <row r="346" spans="1:13" ht="15.75">
      <c r="A346" s="45" t="s">
        <v>9</v>
      </c>
      <c r="B346" s="27" t="s">
        <v>78</v>
      </c>
      <c r="C346" s="35" t="s">
        <v>282</v>
      </c>
      <c r="D346" s="35" t="s">
        <v>12</v>
      </c>
      <c r="E346" s="36">
        <v>323.3</v>
      </c>
      <c r="F346" s="135"/>
      <c r="G346" s="36">
        <f>E346+F346</f>
        <v>323.3</v>
      </c>
      <c r="H346" s="36">
        <f>4048.3-1451.6</f>
        <v>2596.7000000000003</v>
      </c>
      <c r="I346" s="36">
        <v>1661.2</v>
      </c>
      <c r="J346" s="84"/>
      <c r="K346" s="84">
        <f t="shared" si="20"/>
        <v>0</v>
      </c>
      <c r="L346" s="84">
        <f t="shared" si="19"/>
        <v>0</v>
      </c>
      <c r="M346" s="84"/>
    </row>
    <row r="347" spans="1:13" ht="44.25" customHeight="1">
      <c r="A347" s="45" t="s">
        <v>276</v>
      </c>
      <c r="B347" s="27" t="s">
        <v>78</v>
      </c>
      <c r="C347" s="35" t="s">
        <v>283</v>
      </c>
      <c r="D347" s="35"/>
      <c r="E347" s="36">
        <f>E348</f>
        <v>80.8</v>
      </c>
      <c r="F347" s="36">
        <f>F348</f>
        <v>0</v>
      </c>
      <c r="G347" s="36">
        <f>G348</f>
        <v>80.8</v>
      </c>
      <c r="H347" s="36">
        <f>H348</f>
        <v>1012.1</v>
      </c>
      <c r="I347" s="36">
        <f>I348</f>
        <v>0</v>
      </c>
      <c r="J347" s="84"/>
      <c r="K347" s="84">
        <f t="shared" si="20"/>
        <v>0</v>
      </c>
      <c r="L347" s="84">
        <f t="shared" si="19"/>
        <v>0</v>
      </c>
      <c r="M347" s="84"/>
    </row>
    <row r="348" spans="1:13" ht="15.75">
      <c r="A348" s="45" t="s">
        <v>9</v>
      </c>
      <c r="B348" s="27" t="s">
        <v>78</v>
      </c>
      <c r="C348" s="35" t="s">
        <v>283</v>
      </c>
      <c r="D348" s="35" t="s">
        <v>12</v>
      </c>
      <c r="E348" s="36">
        <v>80.8</v>
      </c>
      <c r="F348" s="140"/>
      <c r="G348" s="36">
        <f>E348+F348</f>
        <v>80.8</v>
      </c>
      <c r="H348" s="36">
        <v>1012.1</v>
      </c>
      <c r="I348" s="36">
        <v>0</v>
      </c>
      <c r="J348" s="84"/>
      <c r="K348" s="84">
        <f t="shared" si="20"/>
        <v>0</v>
      </c>
      <c r="L348" s="84">
        <f t="shared" si="19"/>
        <v>0</v>
      </c>
      <c r="M348" s="84"/>
    </row>
    <row r="349" spans="1:13" ht="31.5">
      <c r="A349" s="174" t="s">
        <v>306</v>
      </c>
      <c r="B349" s="72" t="s">
        <v>78</v>
      </c>
      <c r="C349" s="71" t="s">
        <v>147</v>
      </c>
      <c r="D349" s="71" t="s">
        <v>0</v>
      </c>
      <c r="E349" s="77">
        <f>E350</f>
        <v>29871.9</v>
      </c>
      <c r="F349" s="77">
        <f>F350</f>
        <v>-56</v>
      </c>
      <c r="G349" s="77">
        <f>G350</f>
        <v>29815.9</v>
      </c>
      <c r="H349" s="77">
        <f>H350</f>
        <v>26692.200000000004</v>
      </c>
      <c r="I349" s="77">
        <f>I350</f>
        <v>27463</v>
      </c>
      <c r="J349" s="84"/>
      <c r="K349" s="84">
        <f t="shared" si="20"/>
        <v>-56</v>
      </c>
      <c r="L349" s="84">
        <f t="shared" si="19"/>
        <v>0</v>
      </c>
      <c r="M349" s="84"/>
    </row>
    <row r="350" spans="1:13" ht="15.75">
      <c r="A350" s="175" t="s">
        <v>308</v>
      </c>
      <c r="B350" s="78" t="s">
        <v>78</v>
      </c>
      <c r="C350" s="11" t="s">
        <v>150</v>
      </c>
      <c r="D350" s="11" t="s">
        <v>0</v>
      </c>
      <c r="E350" s="12">
        <f>E351+E353+E355+E359</f>
        <v>29871.9</v>
      </c>
      <c r="F350" s="12">
        <f>F351+F353+F355+F359</f>
        <v>-56</v>
      </c>
      <c r="G350" s="12">
        <f>G351+G353+G355+G359</f>
        <v>29815.9</v>
      </c>
      <c r="H350" s="12">
        <f>H351+H353+H355+H359</f>
        <v>26692.200000000004</v>
      </c>
      <c r="I350" s="12">
        <f>I351+I353+I355+I359</f>
        <v>27463</v>
      </c>
      <c r="J350" s="84"/>
      <c r="K350" s="84">
        <f t="shared" si="20"/>
        <v>-56</v>
      </c>
      <c r="L350" s="84">
        <f t="shared" si="19"/>
        <v>0</v>
      </c>
      <c r="M350" s="84"/>
    </row>
    <row r="351" spans="1:13" ht="47.25">
      <c r="A351" s="45" t="s">
        <v>55</v>
      </c>
      <c r="B351" s="42" t="s">
        <v>78</v>
      </c>
      <c r="C351" s="42" t="s">
        <v>151</v>
      </c>
      <c r="D351" s="21"/>
      <c r="E351" s="20">
        <f>E352</f>
        <v>2152.6</v>
      </c>
      <c r="F351" s="20">
        <f>F352</f>
        <v>0</v>
      </c>
      <c r="G351" s="20">
        <f>G352</f>
        <v>2152.6</v>
      </c>
      <c r="H351" s="20">
        <f>H352</f>
        <v>1200</v>
      </c>
      <c r="I351" s="20">
        <f>I352</f>
        <v>1200</v>
      </c>
      <c r="J351" s="84"/>
      <c r="K351" s="84">
        <f t="shared" si="20"/>
        <v>0</v>
      </c>
      <c r="L351" s="84">
        <f t="shared" si="19"/>
        <v>0</v>
      </c>
      <c r="M351" s="84"/>
    </row>
    <row r="352" spans="1:13" ht="47.25">
      <c r="A352" s="45" t="s">
        <v>453</v>
      </c>
      <c r="B352" s="42" t="s">
        <v>78</v>
      </c>
      <c r="C352" s="42" t="s">
        <v>151</v>
      </c>
      <c r="D352" s="42" t="s">
        <v>8</v>
      </c>
      <c r="E352" s="20">
        <v>2152.6</v>
      </c>
      <c r="F352" s="129"/>
      <c r="G352" s="20">
        <f>E352+F352</f>
        <v>2152.6</v>
      </c>
      <c r="H352" s="20">
        <v>1200</v>
      </c>
      <c r="I352" s="20">
        <v>1200</v>
      </c>
      <c r="J352" s="84"/>
      <c r="K352" s="84">
        <f t="shared" si="20"/>
        <v>0</v>
      </c>
      <c r="L352" s="84">
        <f t="shared" si="19"/>
        <v>0</v>
      </c>
      <c r="M352" s="84"/>
    </row>
    <row r="353" spans="1:13" ht="19.5" customHeight="1">
      <c r="A353" s="45" t="s">
        <v>17</v>
      </c>
      <c r="B353" s="42" t="s">
        <v>78</v>
      </c>
      <c r="C353" s="42" t="s">
        <v>152</v>
      </c>
      <c r="D353" s="21"/>
      <c r="E353" s="20">
        <f>E354</f>
        <v>250</v>
      </c>
      <c r="F353" s="164">
        <f>F354</f>
        <v>0</v>
      </c>
      <c r="G353" s="20">
        <f>G354</f>
        <v>250</v>
      </c>
      <c r="H353" s="20">
        <f>H354</f>
        <v>150</v>
      </c>
      <c r="I353" s="20">
        <f>I354</f>
        <v>150</v>
      </c>
      <c r="J353" s="84"/>
      <c r="K353" s="84">
        <f t="shared" si="20"/>
        <v>0</v>
      </c>
      <c r="L353" s="84">
        <f t="shared" si="19"/>
        <v>0</v>
      </c>
      <c r="M353" s="84"/>
    </row>
    <row r="354" spans="1:13" ht="47.25">
      <c r="A354" s="45" t="s">
        <v>453</v>
      </c>
      <c r="B354" s="42" t="s">
        <v>78</v>
      </c>
      <c r="C354" s="42" t="s">
        <v>152</v>
      </c>
      <c r="D354" s="42" t="s">
        <v>8</v>
      </c>
      <c r="E354" s="20">
        <v>250</v>
      </c>
      <c r="F354" s="149"/>
      <c r="G354" s="20">
        <f>E354+F354</f>
        <v>250</v>
      </c>
      <c r="H354" s="20">
        <v>150</v>
      </c>
      <c r="I354" s="20">
        <v>150</v>
      </c>
      <c r="J354" s="84"/>
      <c r="K354" s="84">
        <f t="shared" si="20"/>
        <v>0</v>
      </c>
      <c r="L354" s="84">
        <f t="shared" si="19"/>
        <v>0</v>
      </c>
      <c r="M354" s="84"/>
    </row>
    <row r="355" spans="1:13" ht="31.5">
      <c r="A355" s="45" t="s">
        <v>13</v>
      </c>
      <c r="B355" s="42" t="s">
        <v>78</v>
      </c>
      <c r="C355" s="42" t="s">
        <v>153</v>
      </c>
      <c r="D355" s="21"/>
      <c r="E355" s="20">
        <f>SUM(E356:E358)</f>
        <v>19852.100000000002</v>
      </c>
      <c r="F355" s="20">
        <f>SUM(F356:F358)</f>
        <v>0</v>
      </c>
      <c r="G355" s="20">
        <f>E355+F355</f>
        <v>19852.100000000002</v>
      </c>
      <c r="H355" s="20">
        <f>SUM(H356:H358)</f>
        <v>19329.100000000002</v>
      </c>
      <c r="I355" s="20">
        <f>SUM(I356:I358)</f>
        <v>19329.100000000002</v>
      </c>
      <c r="J355" s="84"/>
      <c r="K355" s="84">
        <f t="shared" si="20"/>
        <v>0</v>
      </c>
      <c r="L355" s="84">
        <f t="shared" si="19"/>
        <v>0</v>
      </c>
      <c r="M355" s="84"/>
    </row>
    <row r="356" spans="1:13" ht="63">
      <c r="A356" s="45" t="s">
        <v>14</v>
      </c>
      <c r="B356" s="42" t="s">
        <v>78</v>
      </c>
      <c r="C356" s="42" t="s">
        <v>153</v>
      </c>
      <c r="D356" s="42" t="s">
        <v>15</v>
      </c>
      <c r="E356" s="20">
        <f>17873.7+10</f>
        <v>17883.7</v>
      </c>
      <c r="F356" s="134"/>
      <c r="G356" s="20">
        <f>17873.7+10</f>
        <v>17883.7</v>
      </c>
      <c r="H356" s="20">
        <f>17673.7+10</f>
        <v>17683.7</v>
      </c>
      <c r="I356" s="20">
        <f>17673.7+10</f>
        <v>17683.7</v>
      </c>
      <c r="J356" s="84"/>
      <c r="K356" s="84">
        <f t="shared" si="20"/>
        <v>0</v>
      </c>
      <c r="L356" s="84">
        <f t="shared" si="19"/>
        <v>0</v>
      </c>
      <c r="M356" s="84"/>
    </row>
    <row r="357" spans="1:13" ht="47.25">
      <c r="A357" s="45" t="s">
        <v>453</v>
      </c>
      <c r="B357" s="42" t="s">
        <v>78</v>
      </c>
      <c r="C357" s="42" t="s">
        <v>153</v>
      </c>
      <c r="D357" s="42" t="s">
        <v>8</v>
      </c>
      <c r="E357" s="20">
        <f>1963.4-10</f>
        <v>1953.4</v>
      </c>
      <c r="F357" s="134"/>
      <c r="G357" s="20">
        <f>1963.4-10</f>
        <v>1953.4</v>
      </c>
      <c r="H357" s="20">
        <f>1640.4-10</f>
        <v>1630.4</v>
      </c>
      <c r="I357" s="20">
        <f>1640.4-10</f>
        <v>1630.4</v>
      </c>
      <c r="J357" s="84"/>
      <c r="K357" s="84">
        <f t="shared" si="20"/>
        <v>0</v>
      </c>
      <c r="L357" s="84">
        <f t="shared" si="19"/>
        <v>0</v>
      </c>
      <c r="M357" s="84"/>
    </row>
    <row r="358" spans="1:13" ht="15.75">
      <c r="A358" s="45" t="s">
        <v>9</v>
      </c>
      <c r="B358" s="42" t="s">
        <v>78</v>
      </c>
      <c r="C358" s="42" t="s">
        <v>153</v>
      </c>
      <c r="D358" s="42" t="s">
        <v>12</v>
      </c>
      <c r="E358" s="20">
        <v>15</v>
      </c>
      <c r="F358" s="134"/>
      <c r="G358" s="20">
        <v>15</v>
      </c>
      <c r="H358" s="20">
        <v>15</v>
      </c>
      <c r="I358" s="20">
        <v>15</v>
      </c>
      <c r="J358" s="84"/>
      <c r="K358" s="84">
        <f t="shared" si="20"/>
        <v>0</v>
      </c>
      <c r="L358" s="84">
        <f t="shared" si="19"/>
        <v>0</v>
      </c>
      <c r="M358" s="84"/>
    </row>
    <row r="359" spans="1:13" ht="31.5">
      <c r="A359" s="45" t="s">
        <v>18</v>
      </c>
      <c r="B359" s="42" t="s">
        <v>78</v>
      </c>
      <c r="C359" s="42" t="s">
        <v>154</v>
      </c>
      <c r="D359" s="21"/>
      <c r="E359" s="20">
        <f>E361+E362+E360</f>
        <v>7617.200000000001</v>
      </c>
      <c r="F359" s="20">
        <f>F361+F362+F360</f>
        <v>-56</v>
      </c>
      <c r="G359" s="20">
        <f>G361+G362+G360</f>
        <v>7561.200000000001</v>
      </c>
      <c r="H359" s="20">
        <f>H361+H362+H360</f>
        <v>6013.1</v>
      </c>
      <c r="I359" s="20">
        <f>I361+I362+I360</f>
        <v>6783.9</v>
      </c>
      <c r="J359" s="84"/>
      <c r="K359" s="84">
        <f t="shared" si="20"/>
        <v>-56</v>
      </c>
      <c r="L359" s="84">
        <f t="shared" si="19"/>
        <v>0</v>
      </c>
      <c r="M359" s="84"/>
    </row>
    <row r="360" spans="1:13" ht="63">
      <c r="A360" s="45" t="s">
        <v>14</v>
      </c>
      <c r="B360" s="42" t="s">
        <v>78</v>
      </c>
      <c r="C360" s="42" t="s">
        <v>154</v>
      </c>
      <c r="D360" s="21" t="s">
        <v>15</v>
      </c>
      <c r="E360" s="20">
        <v>3243.9</v>
      </c>
      <c r="F360" s="146"/>
      <c r="G360" s="20">
        <v>3243.9</v>
      </c>
      <c r="H360" s="20">
        <v>3243.9</v>
      </c>
      <c r="I360" s="20">
        <v>3243.9</v>
      </c>
      <c r="J360" s="84"/>
      <c r="K360" s="84">
        <f t="shared" si="20"/>
        <v>0</v>
      </c>
      <c r="L360" s="84">
        <f t="shared" si="19"/>
        <v>0</v>
      </c>
      <c r="M360" s="84"/>
    </row>
    <row r="361" spans="1:13" ht="47.25">
      <c r="A361" s="45" t="s">
        <v>453</v>
      </c>
      <c r="B361" s="42" t="s">
        <v>78</v>
      </c>
      <c r="C361" s="42" t="s">
        <v>154</v>
      </c>
      <c r="D361" s="42" t="s">
        <v>8</v>
      </c>
      <c r="E361" s="20">
        <v>3706.6</v>
      </c>
      <c r="F361" s="129">
        <v>-56</v>
      </c>
      <c r="G361" s="20">
        <f>E361+F361</f>
        <v>3650.6</v>
      </c>
      <c r="H361" s="20">
        <v>2069.2</v>
      </c>
      <c r="I361" s="20">
        <f>2839.9+0.1</f>
        <v>2840</v>
      </c>
      <c r="J361" s="84"/>
      <c r="K361" s="84">
        <f t="shared" si="20"/>
        <v>-56</v>
      </c>
      <c r="L361" s="84">
        <f t="shared" si="19"/>
        <v>0</v>
      </c>
      <c r="M361" s="84"/>
    </row>
    <row r="362" spans="1:13" ht="15.75">
      <c r="A362" s="45" t="s">
        <v>9</v>
      </c>
      <c r="B362" s="42" t="s">
        <v>78</v>
      </c>
      <c r="C362" s="42" t="s">
        <v>154</v>
      </c>
      <c r="D362" s="42" t="s">
        <v>12</v>
      </c>
      <c r="E362" s="20">
        <v>666.7</v>
      </c>
      <c r="F362" s="129"/>
      <c r="G362" s="20">
        <f>E362+F362</f>
        <v>666.7</v>
      </c>
      <c r="H362" s="20">
        <v>700</v>
      </c>
      <c r="I362" s="20">
        <v>700</v>
      </c>
      <c r="J362" s="84"/>
      <c r="K362" s="84">
        <f t="shared" si="20"/>
        <v>0</v>
      </c>
      <c r="L362" s="84">
        <f t="shared" si="19"/>
        <v>0</v>
      </c>
      <c r="M362" s="84"/>
    </row>
    <row r="363" spans="1:13" ht="15.75">
      <c r="A363" s="70" t="s">
        <v>30</v>
      </c>
      <c r="B363" s="72" t="s">
        <v>78</v>
      </c>
      <c r="C363" s="72" t="s">
        <v>96</v>
      </c>
      <c r="D363" s="131"/>
      <c r="E363" s="155">
        <f>E364</f>
        <v>260.9</v>
      </c>
      <c r="F363" s="156">
        <f>F364</f>
        <v>0</v>
      </c>
      <c r="G363" s="155">
        <f>G364</f>
        <v>260.9</v>
      </c>
      <c r="H363" s="155">
        <f>H364</f>
        <v>0</v>
      </c>
      <c r="I363" s="155">
        <f>I364</f>
        <v>0</v>
      </c>
      <c r="J363" s="84"/>
      <c r="K363" s="84">
        <f t="shared" si="20"/>
        <v>0</v>
      </c>
      <c r="L363" s="84">
        <f t="shared" si="19"/>
        <v>0</v>
      </c>
      <c r="M363" s="84"/>
    </row>
    <row r="364" spans="1:13" ht="31.5">
      <c r="A364" s="45" t="s">
        <v>60</v>
      </c>
      <c r="B364" s="42" t="s">
        <v>78</v>
      </c>
      <c r="C364" s="42" t="s">
        <v>394</v>
      </c>
      <c r="D364" s="132"/>
      <c r="E364" s="144">
        <f>E366+E365</f>
        <v>260.9</v>
      </c>
      <c r="F364" s="144">
        <f>F366+F365</f>
        <v>0</v>
      </c>
      <c r="G364" s="144">
        <f>G366+G365</f>
        <v>260.9</v>
      </c>
      <c r="H364" s="144">
        <f>H366+H365</f>
        <v>0</v>
      </c>
      <c r="I364" s="144">
        <f>I366+I365</f>
        <v>0</v>
      </c>
      <c r="J364" s="84"/>
      <c r="K364" s="84">
        <f t="shared" si="20"/>
        <v>0</v>
      </c>
      <c r="L364" s="84">
        <f t="shared" si="19"/>
        <v>0</v>
      </c>
      <c r="M364" s="84"/>
    </row>
    <row r="365" spans="1:13" ht="47.25">
      <c r="A365" s="45" t="s">
        <v>453</v>
      </c>
      <c r="B365" s="42" t="s">
        <v>78</v>
      </c>
      <c r="C365" s="42" t="s">
        <v>394</v>
      </c>
      <c r="D365" s="42">
        <v>200</v>
      </c>
      <c r="E365" s="144">
        <v>181.5</v>
      </c>
      <c r="F365" s="144"/>
      <c r="G365" s="144">
        <f>E365+F365</f>
        <v>181.5</v>
      </c>
      <c r="H365" s="144">
        <v>0</v>
      </c>
      <c r="I365" s="144">
        <v>0</v>
      </c>
      <c r="J365" s="84"/>
      <c r="K365" s="84">
        <f t="shared" si="20"/>
        <v>0</v>
      </c>
      <c r="L365" s="84">
        <f t="shared" si="19"/>
        <v>0</v>
      </c>
      <c r="M365" s="84"/>
    </row>
    <row r="366" spans="1:13" ht="15.75">
      <c r="A366" s="45" t="s">
        <v>9</v>
      </c>
      <c r="B366" s="42" t="s">
        <v>78</v>
      </c>
      <c r="C366" s="42" t="s">
        <v>394</v>
      </c>
      <c r="D366" s="130" t="s">
        <v>12</v>
      </c>
      <c r="E366" s="144">
        <v>79.4</v>
      </c>
      <c r="F366" s="145"/>
      <c r="G366" s="144">
        <f>E366+F366</f>
        <v>79.4</v>
      </c>
      <c r="H366" s="144">
        <v>0</v>
      </c>
      <c r="I366" s="144">
        <v>0</v>
      </c>
      <c r="J366" s="84"/>
      <c r="K366" s="84">
        <f t="shared" si="20"/>
        <v>0</v>
      </c>
      <c r="L366" s="84">
        <f t="shared" si="19"/>
        <v>0</v>
      </c>
      <c r="M366" s="84"/>
    </row>
    <row r="367" spans="1:14" ht="15.75">
      <c r="A367" s="176" t="s">
        <v>79</v>
      </c>
      <c r="B367" s="33" t="s">
        <v>80</v>
      </c>
      <c r="C367" s="80"/>
      <c r="D367" s="80"/>
      <c r="E367" s="31">
        <f>E368+E444</f>
        <v>1282588.1999999997</v>
      </c>
      <c r="F367" s="31">
        <f>F368+F444</f>
        <v>9835.4</v>
      </c>
      <c r="G367" s="31">
        <f>G368+G444</f>
        <v>1292423.5999999999</v>
      </c>
      <c r="H367" s="31">
        <f>H368+H444</f>
        <v>1257871.5999999999</v>
      </c>
      <c r="I367" s="31">
        <f>I368+I444</f>
        <v>1305482.2999999996</v>
      </c>
      <c r="J367" s="84">
        <f>E367+F367</f>
        <v>1292423.5999999996</v>
      </c>
      <c r="K367" s="84">
        <f t="shared" si="20"/>
        <v>9835.40000000014</v>
      </c>
      <c r="L367" s="84">
        <f t="shared" si="19"/>
        <v>0</v>
      </c>
      <c r="M367" s="84"/>
      <c r="N367" s="84"/>
    </row>
    <row r="368" spans="1:13" ht="15.75">
      <c r="A368" s="174" t="s">
        <v>300</v>
      </c>
      <c r="B368" s="72" t="s">
        <v>80</v>
      </c>
      <c r="C368" s="71" t="s">
        <v>109</v>
      </c>
      <c r="D368" s="71" t="s">
        <v>0</v>
      </c>
      <c r="E368" s="77">
        <f>E369+E386+E410+E423+E432</f>
        <v>1281700.6999999997</v>
      </c>
      <c r="F368" s="77">
        <f>F369+F386+F410+F423+F432</f>
        <v>9835.4</v>
      </c>
      <c r="G368" s="77">
        <f>G369+G386+G410+G423+G432</f>
        <v>1291536.0999999999</v>
      </c>
      <c r="H368" s="77">
        <f>H369+H386+H410+H423+H432</f>
        <v>1257126.7</v>
      </c>
      <c r="I368" s="77">
        <f>I369+I386+I410+I423+I432</f>
        <v>1304838.4999999995</v>
      </c>
      <c r="J368" s="84">
        <f>J367-G367</f>
        <v>0</v>
      </c>
      <c r="K368" s="84">
        <f t="shared" si="20"/>
        <v>9835.40000000014</v>
      </c>
      <c r="L368" s="84">
        <f t="shared" si="19"/>
        <v>0</v>
      </c>
      <c r="M368" s="84"/>
    </row>
    <row r="369" spans="1:13" ht="31.5">
      <c r="A369" s="175" t="s">
        <v>322</v>
      </c>
      <c r="B369" s="81" t="s">
        <v>80</v>
      </c>
      <c r="C369" s="11" t="s">
        <v>110</v>
      </c>
      <c r="D369" s="11" t="s">
        <v>0</v>
      </c>
      <c r="E369" s="12">
        <f>E370+E382+E376+E384+E374+E372+E380+E378</f>
        <v>509529.7</v>
      </c>
      <c r="F369" s="12">
        <f>F370+F382+F376+F384+F374+F372+F380+F378</f>
        <v>2436</v>
      </c>
      <c r="G369" s="12">
        <f>G370+G382+G376+G384+G374+G372+G380+G378</f>
        <v>511965.7</v>
      </c>
      <c r="H369" s="12">
        <f>H370+H382+H376+H384+H374+H372+H380+H378</f>
        <v>479523.1</v>
      </c>
      <c r="I369" s="12">
        <f>I370+I382+I376+I384+I374+I372+I380+I378</f>
        <v>498323</v>
      </c>
      <c r="J369" s="84"/>
      <c r="K369" s="84">
        <f t="shared" si="20"/>
        <v>2436</v>
      </c>
      <c r="L369" s="84">
        <f t="shared" si="19"/>
        <v>0</v>
      </c>
      <c r="M369" s="84"/>
    </row>
    <row r="370" spans="1:13" ht="31.5">
      <c r="A370" s="45" t="s">
        <v>25</v>
      </c>
      <c r="B370" s="42" t="s">
        <v>80</v>
      </c>
      <c r="C370" s="42" t="s">
        <v>108</v>
      </c>
      <c r="D370" s="42"/>
      <c r="E370" s="43">
        <f>E371</f>
        <v>62762.9</v>
      </c>
      <c r="F370" s="43">
        <f>F371</f>
        <v>436</v>
      </c>
      <c r="G370" s="43">
        <f>G371</f>
        <v>63198.9</v>
      </c>
      <c r="H370" s="43">
        <f>H371</f>
        <v>51878.4</v>
      </c>
      <c r="I370" s="43">
        <f>I371</f>
        <v>53778.6</v>
      </c>
      <c r="J370" s="84"/>
      <c r="K370" s="84">
        <f t="shared" si="20"/>
        <v>436</v>
      </c>
      <c r="L370" s="84">
        <f t="shared" si="19"/>
        <v>0</v>
      </c>
      <c r="M370" s="84"/>
    </row>
    <row r="371" spans="1:13" ht="31.5">
      <c r="A371" s="45" t="s">
        <v>10</v>
      </c>
      <c r="B371" s="42" t="s">
        <v>80</v>
      </c>
      <c r="C371" s="42" t="s">
        <v>108</v>
      </c>
      <c r="D371" s="42" t="s">
        <v>11</v>
      </c>
      <c r="E371" s="37">
        <v>62762.9</v>
      </c>
      <c r="F371" s="129">
        <v>436</v>
      </c>
      <c r="G371" s="43">
        <f>E371+F371</f>
        <v>63198.9</v>
      </c>
      <c r="H371" s="37">
        <v>51878.4</v>
      </c>
      <c r="I371" s="37">
        <v>53778.6</v>
      </c>
      <c r="J371" s="84"/>
      <c r="K371" s="84">
        <f t="shared" si="20"/>
        <v>436</v>
      </c>
      <c r="L371" s="84">
        <f t="shared" si="19"/>
        <v>0</v>
      </c>
      <c r="M371" s="84"/>
    </row>
    <row r="372" spans="1:13" ht="31.5">
      <c r="A372" s="45" t="s">
        <v>261</v>
      </c>
      <c r="B372" s="42" t="s">
        <v>80</v>
      </c>
      <c r="C372" s="42" t="s">
        <v>269</v>
      </c>
      <c r="D372" s="42"/>
      <c r="E372" s="37">
        <f>E373</f>
        <v>1780</v>
      </c>
      <c r="F372" s="37">
        <f>F373</f>
        <v>0</v>
      </c>
      <c r="G372" s="37">
        <f>G373</f>
        <v>1780</v>
      </c>
      <c r="H372" s="37">
        <f>H373</f>
        <v>1780</v>
      </c>
      <c r="I372" s="37">
        <f>I373</f>
        <v>1780</v>
      </c>
      <c r="J372" s="84"/>
      <c r="K372" s="84">
        <f t="shared" si="20"/>
        <v>0</v>
      </c>
      <c r="L372" s="84">
        <f t="shared" si="19"/>
        <v>0</v>
      </c>
      <c r="M372" s="84"/>
    </row>
    <row r="373" spans="1:13" ht="31.5">
      <c r="A373" s="45" t="s">
        <v>10</v>
      </c>
      <c r="B373" s="42" t="s">
        <v>80</v>
      </c>
      <c r="C373" s="42" t="s">
        <v>269</v>
      </c>
      <c r="D373" s="42" t="s">
        <v>11</v>
      </c>
      <c r="E373" s="37">
        <v>1780</v>
      </c>
      <c r="F373" s="134"/>
      <c r="G373" s="43">
        <f>E373+F373</f>
        <v>1780</v>
      </c>
      <c r="H373" s="37">
        <v>1780</v>
      </c>
      <c r="I373" s="37">
        <v>1780</v>
      </c>
      <c r="J373" s="84"/>
      <c r="K373" s="84">
        <f t="shared" si="20"/>
        <v>0</v>
      </c>
      <c r="L373" s="84">
        <f t="shared" si="19"/>
        <v>0</v>
      </c>
      <c r="M373" s="84"/>
    </row>
    <row r="374" spans="1:13" ht="47.25">
      <c r="A374" s="45" t="s">
        <v>63</v>
      </c>
      <c r="B374" s="42" t="s">
        <v>80</v>
      </c>
      <c r="C374" s="42" t="s">
        <v>112</v>
      </c>
      <c r="D374" s="42"/>
      <c r="E374" s="43">
        <f>E375</f>
        <v>411362.5</v>
      </c>
      <c r="F374" s="43">
        <f>F375</f>
        <v>0</v>
      </c>
      <c r="G374" s="43">
        <f>G375</f>
        <v>411362.5</v>
      </c>
      <c r="H374" s="43">
        <f>H375</f>
        <v>399413.5</v>
      </c>
      <c r="I374" s="43">
        <f>I375</f>
        <v>415866.1</v>
      </c>
      <c r="J374" s="84"/>
      <c r="K374" s="84">
        <f t="shared" si="20"/>
        <v>0</v>
      </c>
      <c r="L374" s="84">
        <f t="shared" si="19"/>
        <v>0</v>
      </c>
      <c r="M374" s="84"/>
    </row>
    <row r="375" spans="1:14" ht="31.5">
      <c r="A375" s="45" t="s">
        <v>10</v>
      </c>
      <c r="B375" s="42" t="s">
        <v>80</v>
      </c>
      <c r="C375" s="42" t="s">
        <v>112</v>
      </c>
      <c r="D375" s="42" t="s">
        <v>11</v>
      </c>
      <c r="E375" s="43">
        <v>411362.5</v>
      </c>
      <c r="F375" s="134"/>
      <c r="G375" s="43">
        <f>E375+F375</f>
        <v>411362.5</v>
      </c>
      <c r="H375" s="43">
        <v>399413.5</v>
      </c>
      <c r="I375" s="43">
        <v>415866.1</v>
      </c>
      <c r="J375" s="84"/>
      <c r="K375" s="84">
        <f t="shared" si="20"/>
        <v>0</v>
      </c>
      <c r="L375" s="84">
        <f t="shared" si="19"/>
        <v>0</v>
      </c>
      <c r="M375" s="84"/>
      <c r="N375" s="84"/>
    </row>
    <row r="376" spans="1:14" ht="31.5">
      <c r="A376" s="45" t="s">
        <v>26</v>
      </c>
      <c r="B376" s="27" t="s">
        <v>80</v>
      </c>
      <c r="C376" s="42" t="s">
        <v>111</v>
      </c>
      <c r="D376" s="42"/>
      <c r="E376" s="43">
        <f>E377</f>
        <v>1521.7</v>
      </c>
      <c r="F376" s="43">
        <f>F377</f>
        <v>2000</v>
      </c>
      <c r="G376" s="43">
        <f>G377</f>
        <v>3521.7</v>
      </c>
      <c r="H376" s="43">
        <f>H377</f>
        <v>0</v>
      </c>
      <c r="I376" s="43">
        <f>I377</f>
        <v>0</v>
      </c>
      <c r="J376" s="84"/>
      <c r="K376" s="84">
        <f t="shared" si="20"/>
        <v>1999.9999999999998</v>
      </c>
      <c r="L376" s="84">
        <f t="shared" si="19"/>
        <v>0</v>
      </c>
      <c r="M376" s="84"/>
      <c r="N376" s="84"/>
    </row>
    <row r="377" spans="1:13" ht="31.5">
      <c r="A377" s="45" t="s">
        <v>10</v>
      </c>
      <c r="B377" s="21" t="s">
        <v>80</v>
      </c>
      <c r="C377" s="42" t="s">
        <v>111</v>
      </c>
      <c r="D377" s="42" t="s">
        <v>11</v>
      </c>
      <c r="E377" s="43">
        <v>1521.7</v>
      </c>
      <c r="F377" s="129">
        <f>1000+1000</f>
        <v>2000</v>
      </c>
      <c r="G377" s="43">
        <f>E377+F377</f>
        <v>3521.7</v>
      </c>
      <c r="H377" s="43">
        <v>0</v>
      </c>
      <c r="I377" s="43">
        <v>0</v>
      </c>
      <c r="J377" s="84"/>
      <c r="K377" s="84">
        <f t="shared" si="20"/>
        <v>1999.9999999999998</v>
      </c>
      <c r="L377" s="84">
        <f t="shared" si="19"/>
        <v>0</v>
      </c>
      <c r="M377" s="84"/>
    </row>
    <row r="378" spans="1:13" ht="47.25">
      <c r="A378" s="45" t="s">
        <v>418</v>
      </c>
      <c r="B378" s="35" t="s">
        <v>80</v>
      </c>
      <c r="C378" s="42" t="s">
        <v>420</v>
      </c>
      <c r="D378" s="42"/>
      <c r="E378" s="43">
        <f>E379</f>
        <v>5231.7</v>
      </c>
      <c r="F378" s="43">
        <f>F379</f>
        <v>0</v>
      </c>
      <c r="G378" s="43">
        <f>G379</f>
        <v>5231.7</v>
      </c>
      <c r="H378" s="43">
        <f>H379</f>
        <v>0</v>
      </c>
      <c r="I378" s="43">
        <f>I379</f>
        <v>0</v>
      </c>
      <c r="J378" s="84"/>
      <c r="K378" s="84">
        <f t="shared" si="20"/>
        <v>0</v>
      </c>
      <c r="L378" s="84">
        <f t="shared" si="19"/>
        <v>0</v>
      </c>
      <c r="M378" s="84"/>
    </row>
    <row r="379" spans="1:13" ht="31.5">
      <c r="A379" s="45" t="s">
        <v>10</v>
      </c>
      <c r="B379" s="21" t="s">
        <v>80</v>
      </c>
      <c r="C379" s="42" t="s">
        <v>420</v>
      </c>
      <c r="D379" s="42" t="s">
        <v>11</v>
      </c>
      <c r="E379" s="43">
        <v>5231.7</v>
      </c>
      <c r="F379" s="129"/>
      <c r="G379" s="43">
        <f>E379+F379</f>
        <v>5231.7</v>
      </c>
      <c r="H379" s="43">
        <v>0</v>
      </c>
      <c r="I379" s="43">
        <v>0</v>
      </c>
      <c r="J379" s="84"/>
      <c r="K379" s="84">
        <f t="shared" si="20"/>
        <v>0</v>
      </c>
      <c r="L379" s="84">
        <f t="shared" si="19"/>
        <v>0</v>
      </c>
      <c r="M379" s="84"/>
    </row>
    <row r="380" spans="1:13" ht="31.5">
      <c r="A380" s="45" t="s">
        <v>202</v>
      </c>
      <c r="B380" s="42" t="s">
        <v>80</v>
      </c>
      <c r="C380" s="42" t="s">
        <v>325</v>
      </c>
      <c r="D380" s="42"/>
      <c r="E380" s="43">
        <f>E381</f>
        <v>666.6</v>
      </c>
      <c r="F380" s="47">
        <f>F381</f>
        <v>0</v>
      </c>
      <c r="G380" s="43">
        <f>G381</f>
        <v>666.6</v>
      </c>
      <c r="H380" s="43">
        <f>H381</f>
        <v>0</v>
      </c>
      <c r="I380" s="43">
        <f>I381</f>
        <v>0</v>
      </c>
      <c r="J380" s="84"/>
      <c r="K380" s="84">
        <f t="shared" si="20"/>
        <v>0</v>
      </c>
      <c r="L380" s="84">
        <f t="shared" si="19"/>
        <v>0</v>
      </c>
      <c r="M380" s="84"/>
    </row>
    <row r="381" spans="1:13" ht="31.5">
      <c r="A381" s="45" t="s">
        <v>10</v>
      </c>
      <c r="B381" s="42" t="s">
        <v>80</v>
      </c>
      <c r="C381" s="42" t="s">
        <v>325</v>
      </c>
      <c r="D381" s="42" t="s">
        <v>11</v>
      </c>
      <c r="E381" s="43">
        <v>666.6</v>
      </c>
      <c r="F381" s="149"/>
      <c r="G381" s="43">
        <f>E381+F381</f>
        <v>666.6</v>
      </c>
      <c r="H381" s="43">
        <v>0</v>
      </c>
      <c r="I381" s="43">
        <v>0</v>
      </c>
      <c r="J381" s="84"/>
      <c r="K381" s="84">
        <f t="shared" si="20"/>
        <v>0</v>
      </c>
      <c r="L381" s="84">
        <f t="shared" si="19"/>
        <v>0</v>
      </c>
      <c r="M381" s="84"/>
    </row>
    <row r="382" spans="1:14" ht="78.75">
      <c r="A382" s="45" t="s">
        <v>62</v>
      </c>
      <c r="B382" s="42" t="s">
        <v>80</v>
      </c>
      <c r="C382" s="42" t="s">
        <v>359</v>
      </c>
      <c r="D382" s="42"/>
      <c r="E382" s="43">
        <f>E383</f>
        <v>24355.3</v>
      </c>
      <c r="F382" s="47">
        <f>F383</f>
        <v>0</v>
      </c>
      <c r="G382" s="43">
        <f>G383</f>
        <v>24355.3</v>
      </c>
      <c r="H382" s="43">
        <f>H383</f>
        <v>24505.2</v>
      </c>
      <c r="I382" s="43">
        <f>I383</f>
        <v>24828.3</v>
      </c>
      <c r="J382" s="84"/>
      <c r="K382" s="84">
        <f t="shared" si="20"/>
        <v>0</v>
      </c>
      <c r="L382" s="84">
        <f t="shared" si="19"/>
        <v>0</v>
      </c>
      <c r="M382" s="84"/>
      <c r="N382" s="84"/>
    </row>
    <row r="383" spans="1:13" ht="31.5">
      <c r="A383" s="45" t="s">
        <v>10</v>
      </c>
      <c r="B383" s="42" t="s">
        <v>80</v>
      </c>
      <c r="C383" s="42" t="s">
        <v>359</v>
      </c>
      <c r="D383" s="42" t="s">
        <v>11</v>
      </c>
      <c r="E383" s="43">
        <v>24355.3</v>
      </c>
      <c r="F383" s="149"/>
      <c r="G383" s="43">
        <f>E383+F383</f>
        <v>24355.3</v>
      </c>
      <c r="H383" s="43">
        <v>24505.2</v>
      </c>
      <c r="I383" s="43">
        <v>24828.3</v>
      </c>
      <c r="J383" s="84"/>
      <c r="K383" s="84">
        <f t="shared" si="20"/>
        <v>0</v>
      </c>
      <c r="L383" s="84">
        <f t="shared" si="19"/>
        <v>0</v>
      </c>
      <c r="M383" s="84"/>
    </row>
    <row r="384" spans="1:13" ht="94.5">
      <c r="A384" s="45" t="s">
        <v>194</v>
      </c>
      <c r="B384" s="42" t="s">
        <v>80</v>
      </c>
      <c r="C384" s="42" t="s">
        <v>360</v>
      </c>
      <c r="D384" s="42"/>
      <c r="E384" s="43">
        <f>E385</f>
        <v>1849</v>
      </c>
      <c r="F384" s="47">
        <f>F385</f>
        <v>0</v>
      </c>
      <c r="G384" s="43">
        <f>G385</f>
        <v>1849</v>
      </c>
      <c r="H384" s="43">
        <f>H385</f>
        <v>1946</v>
      </c>
      <c r="I384" s="43">
        <f>I385</f>
        <v>2070</v>
      </c>
      <c r="J384" s="84"/>
      <c r="K384" s="84">
        <f t="shared" si="20"/>
        <v>0</v>
      </c>
      <c r="L384" s="84">
        <f t="shared" si="19"/>
        <v>0</v>
      </c>
      <c r="M384" s="84"/>
    </row>
    <row r="385" spans="1:13" ht="15.75">
      <c r="A385" s="45" t="s">
        <v>27</v>
      </c>
      <c r="B385" s="42" t="s">
        <v>80</v>
      </c>
      <c r="C385" s="42" t="s">
        <v>360</v>
      </c>
      <c r="D385" s="42" t="s">
        <v>16</v>
      </c>
      <c r="E385" s="43">
        <v>1849</v>
      </c>
      <c r="F385" s="149"/>
      <c r="G385" s="43">
        <f>E385+F385</f>
        <v>1849</v>
      </c>
      <c r="H385" s="43">
        <v>1946</v>
      </c>
      <c r="I385" s="43">
        <v>2070</v>
      </c>
      <c r="J385" s="84"/>
      <c r="K385" s="84">
        <f t="shared" si="20"/>
        <v>0</v>
      </c>
      <c r="L385" s="84">
        <f t="shared" si="19"/>
        <v>0</v>
      </c>
      <c r="M385" s="84"/>
    </row>
    <row r="386" spans="1:13" ht="15.75">
      <c r="A386" s="175" t="s">
        <v>302</v>
      </c>
      <c r="B386" s="81" t="s">
        <v>80</v>
      </c>
      <c r="C386" s="11" t="s">
        <v>113</v>
      </c>
      <c r="D386" s="11" t="s">
        <v>0</v>
      </c>
      <c r="E386" s="12">
        <f>E387+E393+E404+E402+E391+E400+E398+E389+E408+E396+E406</f>
        <v>643181.0999999999</v>
      </c>
      <c r="F386" s="12">
        <f>F387+F393+F404+F402+F391+F400+F398+F389+F408+F396+F406</f>
        <v>7399.4</v>
      </c>
      <c r="G386" s="12">
        <f>G387+G393+G404+G402+G391+G400+G398+G389+G408+G396+G406</f>
        <v>650580.4999999999</v>
      </c>
      <c r="H386" s="12">
        <f>H387+H393+H404+H402+H391+H400+H398+H389+H408+H396+H406</f>
        <v>651787.9</v>
      </c>
      <c r="I386" s="12">
        <f>I387+I393+I404+I402+I391+I400+I398+I389+I408+I396+I406</f>
        <v>678974.2999999999</v>
      </c>
      <c r="J386" s="84"/>
      <c r="K386" s="84">
        <f t="shared" si="20"/>
        <v>7399.400000000023</v>
      </c>
      <c r="L386" s="84">
        <f t="shared" si="19"/>
        <v>0</v>
      </c>
      <c r="M386" s="84"/>
    </row>
    <row r="387" spans="1:13" ht="31.5">
      <c r="A387" s="45" t="s">
        <v>25</v>
      </c>
      <c r="B387" s="42" t="s">
        <v>80</v>
      </c>
      <c r="C387" s="42" t="s">
        <v>114</v>
      </c>
      <c r="D387" s="42"/>
      <c r="E387" s="43">
        <f>E388</f>
        <v>103502.6</v>
      </c>
      <c r="F387" s="43">
        <f>F388</f>
        <v>-1000</v>
      </c>
      <c r="G387" s="43">
        <f>G388</f>
        <v>102502.6</v>
      </c>
      <c r="H387" s="43">
        <f>H388</f>
        <v>95107.3</v>
      </c>
      <c r="I387" s="43">
        <f>I388</f>
        <v>99469.2</v>
      </c>
      <c r="J387" s="84"/>
      <c r="K387" s="84">
        <f t="shared" si="20"/>
        <v>-1000</v>
      </c>
      <c r="L387" s="84">
        <f t="shared" si="19"/>
        <v>0</v>
      </c>
      <c r="M387" s="84"/>
    </row>
    <row r="388" spans="1:13" ht="31.5">
      <c r="A388" s="45" t="s">
        <v>10</v>
      </c>
      <c r="B388" s="21" t="s">
        <v>80</v>
      </c>
      <c r="C388" s="42" t="s">
        <v>114</v>
      </c>
      <c r="D388" s="42" t="s">
        <v>11</v>
      </c>
      <c r="E388" s="37">
        <v>103502.6</v>
      </c>
      <c r="F388" s="129">
        <v>-1000</v>
      </c>
      <c r="G388" s="37">
        <f>E388+F388</f>
        <v>102502.6</v>
      </c>
      <c r="H388" s="37">
        <v>95107.3</v>
      </c>
      <c r="I388" s="37">
        <v>99469.2</v>
      </c>
      <c r="J388" s="84"/>
      <c r="K388" s="84">
        <f t="shared" si="20"/>
        <v>-1000</v>
      </c>
      <c r="L388" s="84">
        <f t="shared" si="19"/>
        <v>0</v>
      </c>
      <c r="M388" s="84"/>
    </row>
    <row r="389" spans="1:13" ht="31.5">
      <c r="A389" s="45" t="s">
        <v>261</v>
      </c>
      <c r="B389" s="21" t="s">
        <v>80</v>
      </c>
      <c r="C389" s="42" t="s">
        <v>270</v>
      </c>
      <c r="D389" s="42"/>
      <c r="E389" s="37">
        <f>E390</f>
        <v>1712.2</v>
      </c>
      <c r="F389" s="147">
        <f>F390</f>
        <v>0</v>
      </c>
      <c r="G389" s="37">
        <f>G390</f>
        <v>1712.2</v>
      </c>
      <c r="H389" s="37">
        <f>H390</f>
        <v>1712.2</v>
      </c>
      <c r="I389" s="37">
        <f>I390</f>
        <v>1712.2</v>
      </c>
      <c r="J389" s="84"/>
      <c r="K389" s="84">
        <f t="shared" si="20"/>
        <v>0</v>
      </c>
      <c r="L389" s="84">
        <f t="shared" si="19"/>
        <v>0</v>
      </c>
      <c r="M389" s="84"/>
    </row>
    <row r="390" spans="1:13" ht="31.5">
      <c r="A390" s="45" t="s">
        <v>10</v>
      </c>
      <c r="B390" s="21" t="s">
        <v>80</v>
      </c>
      <c r="C390" s="42" t="s">
        <v>270</v>
      </c>
      <c r="D390" s="42" t="s">
        <v>11</v>
      </c>
      <c r="E390" s="37">
        <v>1712.2</v>
      </c>
      <c r="F390" s="148"/>
      <c r="G390" s="37">
        <f>E390+F390</f>
        <v>1712.2</v>
      </c>
      <c r="H390" s="37">
        <v>1712.2</v>
      </c>
      <c r="I390" s="37">
        <v>1712.2</v>
      </c>
      <c r="J390" s="84"/>
      <c r="K390" s="84">
        <f t="shared" si="20"/>
        <v>0</v>
      </c>
      <c r="L390" s="84">
        <f t="shared" si="19"/>
        <v>0</v>
      </c>
      <c r="M390" s="84"/>
    </row>
    <row r="391" spans="1:13" ht="47.25">
      <c r="A391" s="45" t="s">
        <v>63</v>
      </c>
      <c r="B391" s="21" t="s">
        <v>80</v>
      </c>
      <c r="C391" s="42" t="s">
        <v>115</v>
      </c>
      <c r="D391" s="42"/>
      <c r="E391" s="43">
        <f>E392</f>
        <v>484515.7</v>
      </c>
      <c r="F391" s="141">
        <f>F392</f>
        <v>0</v>
      </c>
      <c r="G391" s="43">
        <f>G392</f>
        <v>484515.7</v>
      </c>
      <c r="H391" s="43">
        <f>H392</f>
        <v>521918.4</v>
      </c>
      <c r="I391" s="43">
        <f>I392</f>
        <v>543417.2</v>
      </c>
      <c r="J391" s="84"/>
      <c r="K391" s="84">
        <f t="shared" si="20"/>
        <v>0</v>
      </c>
      <c r="L391" s="84">
        <f t="shared" si="19"/>
        <v>0</v>
      </c>
      <c r="M391" s="84"/>
    </row>
    <row r="392" spans="1:13" ht="31.5">
      <c r="A392" s="45" t="s">
        <v>10</v>
      </c>
      <c r="B392" s="42" t="s">
        <v>80</v>
      </c>
      <c r="C392" s="42" t="s">
        <v>115</v>
      </c>
      <c r="D392" s="42" t="s">
        <v>11</v>
      </c>
      <c r="E392" s="43">
        <v>484515.7</v>
      </c>
      <c r="F392" s="148"/>
      <c r="G392" s="37">
        <f>E392+F392</f>
        <v>484515.7</v>
      </c>
      <c r="H392" s="43">
        <v>521918.4</v>
      </c>
      <c r="I392" s="43">
        <v>543417.2</v>
      </c>
      <c r="J392" s="84"/>
      <c r="K392" s="84">
        <f t="shared" si="20"/>
        <v>0</v>
      </c>
      <c r="L392" s="84">
        <f t="shared" si="19"/>
        <v>0</v>
      </c>
      <c r="M392" s="84"/>
    </row>
    <row r="393" spans="1:13" ht="31.5">
      <c r="A393" s="45" t="s">
        <v>28</v>
      </c>
      <c r="B393" s="42" t="s">
        <v>80</v>
      </c>
      <c r="C393" s="42" t="s">
        <v>121</v>
      </c>
      <c r="D393" s="42"/>
      <c r="E393" s="43">
        <f>E395+E394</f>
        <v>8930.7</v>
      </c>
      <c r="F393" s="43">
        <f>F395+F394</f>
        <v>-436</v>
      </c>
      <c r="G393" s="43">
        <f>G395+G394</f>
        <v>8494.7</v>
      </c>
      <c r="H393" s="43">
        <f>H395+H394</f>
        <v>0</v>
      </c>
      <c r="I393" s="43">
        <f>I395+I394</f>
        <v>0</v>
      </c>
      <c r="J393" s="84"/>
      <c r="K393" s="84">
        <f t="shared" si="20"/>
        <v>-436</v>
      </c>
      <c r="L393" s="84">
        <f t="shared" si="19"/>
        <v>0</v>
      </c>
      <c r="M393" s="84"/>
    </row>
    <row r="394" spans="1:13" ht="31.5">
      <c r="A394" s="45" t="s">
        <v>385</v>
      </c>
      <c r="B394" s="42" t="s">
        <v>384</v>
      </c>
      <c r="C394" s="42" t="s">
        <v>121</v>
      </c>
      <c r="D394" s="42" t="s">
        <v>24</v>
      </c>
      <c r="E394" s="43">
        <v>5177.7</v>
      </c>
      <c r="F394" s="129">
        <v>-631</v>
      </c>
      <c r="G394" s="37">
        <f>E394+F394</f>
        <v>4546.7</v>
      </c>
      <c r="H394" s="43">
        <v>0</v>
      </c>
      <c r="I394" s="43">
        <v>0</v>
      </c>
      <c r="J394" s="84"/>
      <c r="K394" s="84">
        <f t="shared" si="20"/>
        <v>-631</v>
      </c>
      <c r="L394" s="84">
        <f t="shared" si="19"/>
        <v>0</v>
      </c>
      <c r="M394" s="84"/>
    </row>
    <row r="395" spans="1:13" ht="31.5">
      <c r="A395" s="45" t="s">
        <v>10</v>
      </c>
      <c r="B395" s="42" t="s">
        <v>80</v>
      </c>
      <c r="C395" s="42" t="s">
        <v>121</v>
      </c>
      <c r="D395" s="42" t="s">
        <v>11</v>
      </c>
      <c r="E395" s="43">
        <v>3753</v>
      </c>
      <c r="F395" s="129">
        <v>195</v>
      </c>
      <c r="G395" s="37">
        <f>E395+F395</f>
        <v>3948</v>
      </c>
      <c r="H395" s="43">
        <v>0</v>
      </c>
      <c r="I395" s="43">
        <v>0</v>
      </c>
      <c r="J395" s="84"/>
      <c r="K395" s="84">
        <f t="shared" si="20"/>
        <v>195</v>
      </c>
      <c r="L395" s="84">
        <f t="shared" si="19"/>
        <v>0</v>
      </c>
      <c r="M395" s="84"/>
    </row>
    <row r="396" spans="1:13" ht="47.25">
      <c r="A396" s="45" t="s">
        <v>418</v>
      </c>
      <c r="B396" s="27" t="s">
        <v>80</v>
      </c>
      <c r="C396" s="42" t="s">
        <v>421</v>
      </c>
      <c r="D396" s="42"/>
      <c r="E396" s="43">
        <f>E397</f>
        <v>10375.2</v>
      </c>
      <c r="F396" s="43">
        <f>F397</f>
        <v>0</v>
      </c>
      <c r="G396" s="43">
        <f>G397</f>
        <v>10375.2</v>
      </c>
      <c r="H396" s="43">
        <f>H397</f>
        <v>0</v>
      </c>
      <c r="I396" s="43">
        <f>I397</f>
        <v>0</v>
      </c>
      <c r="J396" s="84"/>
      <c r="K396" s="84">
        <f t="shared" si="20"/>
        <v>0</v>
      </c>
      <c r="L396" s="84">
        <f t="shared" si="19"/>
        <v>0</v>
      </c>
      <c r="M396" s="84"/>
    </row>
    <row r="397" spans="1:13" ht="31.5">
      <c r="A397" s="45" t="s">
        <v>10</v>
      </c>
      <c r="B397" s="21" t="s">
        <v>80</v>
      </c>
      <c r="C397" s="42" t="s">
        <v>421</v>
      </c>
      <c r="D397" s="42" t="s">
        <v>11</v>
      </c>
      <c r="E397" s="43">
        <v>10375.2</v>
      </c>
      <c r="F397" s="129"/>
      <c r="G397" s="37">
        <f>E397+F397</f>
        <v>10375.2</v>
      </c>
      <c r="H397" s="43">
        <v>0</v>
      </c>
      <c r="I397" s="43">
        <v>0</v>
      </c>
      <c r="J397" s="84"/>
      <c r="K397" s="84">
        <f t="shared" si="20"/>
        <v>0</v>
      </c>
      <c r="L397" s="84">
        <f t="shared" si="19"/>
        <v>0</v>
      </c>
      <c r="M397" s="84"/>
    </row>
    <row r="398" spans="1:13" ht="31.5">
      <c r="A398" s="45" t="s">
        <v>202</v>
      </c>
      <c r="B398" s="42" t="s">
        <v>80</v>
      </c>
      <c r="C398" s="42" t="s">
        <v>206</v>
      </c>
      <c r="D398" s="42"/>
      <c r="E398" s="43">
        <f>E399</f>
        <v>582</v>
      </c>
      <c r="F398" s="47">
        <f>F399</f>
        <v>0</v>
      </c>
      <c r="G398" s="43">
        <f>G399</f>
        <v>582</v>
      </c>
      <c r="H398" s="43">
        <f>H399</f>
        <v>0</v>
      </c>
      <c r="I398" s="43">
        <f>I399</f>
        <v>0</v>
      </c>
      <c r="J398" s="84"/>
      <c r="K398" s="84">
        <f t="shared" si="20"/>
        <v>0</v>
      </c>
      <c r="L398" s="84">
        <f t="shared" si="19"/>
        <v>0</v>
      </c>
      <c r="M398" s="84"/>
    </row>
    <row r="399" spans="1:13" ht="31.5">
      <c r="A399" s="45" t="s">
        <v>10</v>
      </c>
      <c r="B399" s="42" t="s">
        <v>80</v>
      </c>
      <c r="C399" s="42" t="s">
        <v>206</v>
      </c>
      <c r="D399" s="42" t="s">
        <v>11</v>
      </c>
      <c r="E399" s="43">
        <v>582</v>
      </c>
      <c r="F399" s="149"/>
      <c r="G399" s="37">
        <f>E399+F399</f>
        <v>582</v>
      </c>
      <c r="H399" s="43">
        <v>0</v>
      </c>
      <c r="I399" s="43">
        <v>0</v>
      </c>
      <c r="J399" s="84"/>
      <c r="K399" s="84">
        <f t="shared" si="20"/>
        <v>0</v>
      </c>
      <c r="L399" s="84">
        <f t="shared" si="19"/>
        <v>0</v>
      </c>
      <c r="M399" s="84"/>
    </row>
    <row r="400" spans="1:13" ht="63">
      <c r="A400" s="45" t="s">
        <v>91</v>
      </c>
      <c r="B400" s="42" t="s">
        <v>80</v>
      </c>
      <c r="C400" s="27" t="s">
        <v>361</v>
      </c>
      <c r="D400" s="42"/>
      <c r="E400" s="37">
        <f>E401</f>
        <v>27780.2</v>
      </c>
      <c r="F400" s="147">
        <f>F401</f>
        <v>0</v>
      </c>
      <c r="G400" s="37">
        <f>G401</f>
        <v>27780.2</v>
      </c>
      <c r="H400" s="37">
        <f>H401</f>
        <v>28891.300000000003</v>
      </c>
      <c r="I400" s="37">
        <f>I401</f>
        <v>30047</v>
      </c>
      <c r="J400" s="84"/>
      <c r="K400" s="84">
        <f t="shared" si="20"/>
        <v>0</v>
      </c>
      <c r="L400" s="84">
        <f t="shared" si="19"/>
        <v>0</v>
      </c>
      <c r="M400" s="84"/>
    </row>
    <row r="401" spans="1:13" ht="31.5">
      <c r="A401" s="45" t="s">
        <v>10</v>
      </c>
      <c r="B401" s="42" t="s">
        <v>80</v>
      </c>
      <c r="C401" s="27" t="s">
        <v>361</v>
      </c>
      <c r="D401" s="42" t="s">
        <v>11</v>
      </c>
      <c r="E401" s="37">
        <f>277.8+27502.4</f>
        <v>27780.2</v>
      </c>
      <c r="F401" s="148"/>
      <c r="G401" s="37">
        <f>E401+F401</f>
        <v>27780.2</v>
      </c>
      <c r="H401" s="37">
        <f>288.9+28602.4</f>
        <v>28891.300000000003</v>
      </c>
      <c r="I401" s="37">
        <f>29746.5+300.5</f>
        <v>30047</v>
      </c>
      <c r="J401" s="84"/>
      <c r="K401" s="84">
        <f t="shared" si="20"/>
        <v>0</v>
      </c>
      <c r="L401" s="84">
        <f t="shared" si="19"/>
        <v>0</v>
      </c>
      <c r="M401" s="84"/>
    </row>
    <row r="402" spans="1:13" ht="63">
      <c r="A402" s="45" t="s">
        <v>81</v>
      </c>
      <c r="B402" s="42" t="s">
        <v>80</v>
      </c>
      <c r="C402" s="42" t="s">
        <v>362</v>
      </c>
      <c r="D402" s="42"/>
      <c r="E402" s="43">
        <f>E403</f>
        <v>18.7</v>
      </c>
      <c r="F402" s="141">
        <f>F403</f>
        <v>0</v>
      </c>
      <c r="G402" s="43">
        <f>G403</f>
        <v>18.7</v>
      </c>
      <c r="H402" s="43">
        <f>H403</f>
        <v>18.7</v>
      </c>
      <c r="I402" s="43">
        <f>I403</f>
        <v>18.7</v>
      </c>
      <c r="J402" s="84"/>
      <c r="K402" s="84">
        <f t="shared" si="20"/>
        <v>0</v>
      </c>
      <c r="L402" s="84">
        <f t="shared" si="19"/>
        <v>0</v>
      </c>
      <c r="M402" s="84"/>
    </row>
    <row r="403" spans="1:13" ht="15.75">
      <c r="A403" s="45" t="s">
        <v>27</v>
      </c>
      <c r="B403" s="42" t="s">
        <v>80</v>
      </c>
      <c r="C403" s="42" t="s">
        <v>362</v>
      </c>
      <c r="D403" s="42" t="s">
        <v>16</v>
      </c>
      <c r="E403" s="43">
        <v>18.7</v>
      </c>
      <c r="F403" s="148"/>
      <c r="G403" s="37">
        <f>E403+F403</f>
        <v>18.7</v>
      </c>
      <c r="H403" s="43">
        <v>18.7</v>
      </c>
      <c r="I403" s="43">
        <v>18.7</v>
      </c>
      <c r="J403" s="84"/>
      <c r="K403" s="84">
        <f t="shared" si="20"/>
        <v>0</v>
      </c>
      <c r="L403" s="84">
        <f aca="true" t="shared" si="21" ref="L403:L466">E403+F403-G403</f>
        <v>0</v>
      </c>
      <c r="M403" s="84"/>
    </row>
    <row r="404" spans="1:13" ht="94.5">
      <c r="A404" s="45" t="s">
        <v>194</v>
      </c>
      <c r="B404" s="42" t="s">
        <v>80</v>
      </c>
      <c r="C404" s="42" t="s">
        <v>363</v>
      </c>
      <c r="D404" s="42"/>
      <c r="E404" s="43">
        <f>E405</f>
        <v>3942</v>
      </c>
      <c r="F404" s="141">
        <f>F405</f>
        <v>0</v>
      </c>
      <c r="G404" s="43">
        <f>G405</f>
        <v>3942</v>
      </c>
      <c r="H404" s="43">
        <f>H405</f>
        <v>4140</v>
      </c>
      <c r="I404" s="43">
        <f>I405</f>
        <v>4310</v>
      </c>
      <c r="J404" s="84"/>
      <c r="K404" s="84">
        <f t="shared" si="20"/>
        <v>0</v>
      </c>
      <c r="L404" s="84">
        <f t="shared" si="21"/>
        <v>0</v>
      </c>
      <c r="M404" s="84"/>
    </row>
    <row r="405" spans="1:13" ht="15.75">
      <c r="A405" s="45" t="s">
        <v>27</v>
      </c>
      <c r="B405" s="42" t="s">
        <v>80</v>
      </c>
      <c r="C405" s="42" t="s">
        <v>363</v>
      </c>
      <c r="D405" s="42" t="s">
        <v>16</v>
      </c>
      <c r="E405" s="43">
        <v>3942</v>
      </c>
      <c r="F405" s="148"/>
      <c r="G405" s="37">
        <f>E405+F405</f>
        <v>3942</v>
      </c>
      <c r="H405" s="43">
        <v>4140</v>
      </c>
      <c r="I405" s="43">
        <v>4310</v>
      </c>
      <c r="J405" s="84"/>
      <c r="K405" s="84">
        <f t="shared" si="20"/>
        <v>0</v>
      </c>
      <c r="L405" s="84">
        <f t="shared" si="21"/>
        <v>0</v>
      </c>
      <c r="M405" s="84"/>
    </row>
    <row r="406" spans="1:13" ht="94.5">
      <c r="A406" s="45" t="s">
        <v>457</v>
      </c>
      <c r="B406" s="42" t="s">
        <v>80</v>
      </c>
      <c r="C406" s="42" t="s">
        <v>458</v>
      </c>
      <c r="D406" s="42"/>
      <c r="E406" s="43">
        <f>E407</f>
        <v>0</v>
      </c>
      <c r="F406" s="43">
        <f>F407</f>
        <v>8835.4</v>
      </c>
      <c r="G406" s="43">
        <f>G407</f>
        <v>8835.4</v>
      </c>
      <c r="H406" s="43">
        <f>H407</f>
        <v>0</v>
      </c>
      <c r="I406" s="43">
        <f>I407</f>
        <v>0</v>
      </c>
      <c r="J406" s="84"/>
      <c r="K406" s="84"/>
      <c r="L406" s="84">
        <f t="shared" si="21"/>
        <v>0</v>
      </c>
      <c r="M406" s="84"/>
    </row>
    <row r="407" spans="1:13" ht="31.5">
      <c r="A407" s="45" t="s">
        <v>10</v>
      </c>
      <c r="B407" s="42" t="s">
        <v>80</v>
      </c>
      <c r="C407" s="42" t="s">
        <v>458</v>
      </c>
      <c r="D407" s="42" t="s">
        <v>11</v>
      </c>
      <c r="E407" s="43">
        <v>0</v>
      </c>
      <c r="F407" s="129">
        <v>8835.4</v>
      </c>
      <c r="G407" s="37">
        <f>E407+F407</f>
        <v>8835.4</v>
      </c>
      <c r="H407" s="43">
        <v>0</v>
      </c>
      <c r="I407" s="43">
        <v>0</v>
      </c>
      <c r="J407" s="84"/>
      <c r="K407" s="84"/>
      <c r="L407" s="84">
        <f t="shared" si="21"/>
        <v>0</v>
      </c>
      <c r="M407" s="84"/>
    </row>
    <row r="408" spans="1:13" ht="47.25">
      <c r="A408" s="45" t="s">
        <v>418</v>
      </c>
      <c r="B408" s="42" t="s">
        <v>80</v>
      </c>
      <c r="C408" s="42" t="s">
        <v>417</v>
      </c>
      <c r="D408" s="42"/>
      <c r="E408" s="43">
        <f>E409</f>
        <v>1821.8</v>
      </c>
      <c r="F408" s="43">
        <f>F409</f>
        <v>0</v>
      </c>
      <c r="G408" s="43">
        <f>G409</f>
        <v>1821.8</v>
      </c>
      <c r="H408" s="43">
        <f>H409</f>
        <v>0</v>
      </c>
      <c r="I408" s="43">
        <f>I409</f>
        <v>0</v>
      </c>
      <c r="J408" s="84"/>
      <c r="K408" s="84">
        <f t="shared" si="20"/>
        <v>0</v>
      </c>
      <c r="L408" s="84">
        <f t="shared" si="21"/>
        <v>0</v>
      </c>
      <c r="M408" s="84"/>
    </row>
    <row r="409" spans="1:13" ht="31.5">
      <c r="A409" s="45" t="s">
        <v>10</v>
      </c>
      <c r="B409" s="42" t="s">
        <v>80</v>
      </c>
      <c r="C409" s="42" t="s">
        <v>417</v>
      </c>
      <c r="D409" s="42" t="s">
        <v>11</v>
      </c>
      <c r="E409" s="43">
        <v>1821.8</v>
      </c>
      <c r="F409" s="129"/>
      <c r="G409" s="37">
        <f>E409+F409</f>
        <v>1821.8</v>
      </c>
      <c r="H409" s="43">
        <v>0</v>
      </c>
      <c r="I409" s="43">
        <v>0</v>
      </c>
      <c r="J409" s="84"/>
      <c r="K409" s="84">
        <f aca="true" t="shared" si="22" ref="K409:K473">G409-E409</f>
        <v>0</v>
      </c>
      <c r="L409" s="84">
        <f t="shared" si="21"/>
        <v>0</v>
      </c>
      <c r="M409" s="84"/>
    </row>
    <row r="410" spans="1:13" ht="22.5" customHeight="1">
      <c r="A410" s="175" t="s">
        <v>303</v>
      </c>
      <c r="B410" s="81" t="s">
        <v>80</v>
      </c>
      <c r="C410" s="11" t="s">
        <v>116</v>
      </c>
      <c r="D410" s="11" t="s">
        <v>0</v>
      </c>
      <c r="E410" s="12">
        <f>E411+E415+E419+E413+E417+E421</f>
        <v>45397.200000000004</v>
      </c>
      <c r="F410" s="12">
        <f>F411+F415+F419+F413+F417+F421</f>
        <v>0</v>
      </c>
      <c r="G410" s="12">
        <f>G411+G415+G419+G413+G417+G421</f>
        <v>45397.200000000004</v>
      </c>
      <c r="H410" s="12">
        <f>H411+H415+H419+H413+H417+H421</f>
        <v>44404.8</v>
      </c>
      <c r="I410" s="12">
        <f>I411+I415+I419+I413+I417+I421</f>
        <v>45471.899999999994</v>
      </c>
      <c r="J410" s="84"/>
      <c r="K410" s="84">
        <f t="shared" si="22"/>
        <v>0</v>
      </c>
      <c r="L410" s="84">
        <f t="shared" si="21"/>
        <v>0</v>
      </c>
      <c r="M410" s="84"/>
    </row>
    <row r="411" spans="1:13" ht="31.5">
      <c r="A411" s="45" t="s">
        <v>25</v>
      </c>
      <c r="B411" s="42" t="s">
        <v>80</v>
      </c>
      <c r="C411" s="42" t="s">
        <v>117</v>
      </c>
      <c r="D411" s="42"/>
      <c r="E411" s="43">
        <f>E412</f>
        <v>31639.8</v>
      </c>
      <c r="F411" s="43">
        <f>F412</f>
        <v>0</v>
      </c>
      <c r="G411" s="43">
        <f>G412</f>
        <v>31639.8</v>
      </c>
      <c r="H411" s="43">
        <f>H412</f>
        <v>30902.7</v>
      </c>
      <c r="I411" s="43">
        <f>I412</f>
        <v>31061.5</v>
      </c>
      <c r="J411" s="84"/>
      <c r="K411" s="84">
        <f t="shared" si="22"/>
        <v>0</v>
      </c>
      <c r="L411" s="84">
        <f t="shared" si="21"/>
        <v>0</v>
      </c>
      <c r="M411" s="84"/>
    </row>
    <row r="412" spans="1:13" ht="31.5">
      <c r="A412" s="45" t="s">
        <v>10</v>
      </c>
      <c r="B412" s="42" t="s">
        <v>80</v>
      </c>
      <c r="C412" s="42" t="s">
        <v>117</v>
      </c>
      <c r="D412" s="42" t="s">
        <v>11</v>
      </c>
      <c r="E412" s="37">
        <v>31639.8</v>
      </c>
      <c r="F412" s="129"/>
      <c r="G412" s="37">
        <f>E412+F412</f>
        <v>31639.8</v>
      </c>
      <c r="H412" s="37">
        <v>30902.7</v>
      </c>
      <c r="I412" s="37">
        <v>31061.5</v>
      </c>
      <c r="J412" s="84"/>
      <c r="K412" s="84">
        <f t="shared" si="22"/>
        <v>0</v>
      </c>
      <c r="L412" s="84">
        <f t="shared" si="21"/>
        <v>0</v>
      </c>
      <c r="M412" s="84"/>
    </row>
    <row r="413" spans="1:13" ht="31.5">
      <c r="A413" s="45" t="s">
        <v>261</v>
      </c>
      <c r="B413" s="42" t="s">
        <v>80</v>
      </c>
      <c r="C413" s="42" t="s">
        <v>271</v>
      </c>
      <c r="D413" s="42"/>
      <c r="E413" s="37">
        <f>E414</f>
        <v>456.5</v>
      </c>
      <c r="F413" s="37">
        <f>F414</f>
        <v>0</v>
      </c>
      <c r="G413" s="37">
        <f>G414</f>
        <v>456.5</v>
      </c>
      <c r="H413" s="37">
        <f>H414</f>
        <v>456.5</v>
      </c>
      <c r="I413" s="37">
        <f>I414</f>
        <v>456.5</v>
      </c>
      <c r="J413" s="84"/>
      <c r="K413" s="84">
        <f t="shared" si="22"/>
        <v>0</v>
      </c>
      <c r="L413" s="84">
        <f t="shared" si="21"/>
        <v>0</v>
      </c>
      <c r="M413" s="84"/>
    </row>
    <row r="414" spans="1:13" ht="31.5">
      <c r="A414" s="45" t="s">
        <v>10</v>
      </c>
      <c r="B414" s="42" t="s">
        <v>80</v>
      </c>
      <c r="C414" s="42" t="s">
        <v>271</v>
      </c>
      <c r="D414" s="42" t="s">
        <v>11</v>
      </c>
      <c r="E414" s="37">
        <v>456.5</v>
      </c>
      <c r="F414" s="129"/>
      <c r="G414" s="37">
        <f>E414+F414</f>
        <v>456.5</v>
      </c>
      <c r="H414" s="37">
        <v>456.5</v>
      </c>
      <c r="I414" s="37">
        <v>456.5</v>
      </c>
      <c r="J414" s="84"/>
      <c r="K414" s="84">
        <f t="shared" si="22"/>
        <v>0</v>
      </c>
      <c r="L414" s="84">
        <f t="shared" si="21"/>
        <v>0</v>
      </c>
      <c r="M414" s="84"/>
    </row>
    <row r="415" spans="1:13" ht="94.5">
      <c r="A415" s="45" t="s">
        <v>194</v>
      </c>
      <c r="B415" s="42" t="s">
        <v>80</v>
      </c>
      <c r="C415" s="42" t="s">
        <v>368</v>
      </c>
      <c r="D415" s="42"/>
      <c r="E415" s="43">
        <f>E416</f>
        <v>109</v>
      </c>
      <c r="F415" s="43">
        <f>F416</f>
        <v>0</v>
      </c>
      <c r="G415" s="43">
        <f>G416</f>
        <v>109</v>
      </c>
      <c r="H415" s="43">
        <f>H416</f>
        <v>114</v>
      </c>
      <c r="I415" s="43">
        <f>I416</f>
        <v>120</v>
      </c>
      <c r="J415" s="84"/>
      <c r="K415" s="84">
        <f t="shared" si="22"/>
        <v>0</v>
      </c>
      <c r="L415" s="84">
        <f t="shared" si="21"/>
        <v>0</v>
      </c>
      <c r="M415" s="84"/>
    </row>
    <row r="416" spans="1:13" ht="15.75">
      <c r="A416" s="45" t="s">
        <v>27</v>
      </c>
      <c r="B416" s="42" t="s">
        <v>80</v>
      </c>
      <c r="C416" s="42" t="s">
        <v>368</v>
      </c>
      <c r="D416" s="42" t="s">
        <v>16</v>
      </c>
      <c r="E416" s="43">
        <v>109</v>
      </c>
      <c r="F416" s="134"/>
      <c r="G416" s="37">
        <f>E416+F416</f>
        <v>109</v>
      </c>
      <c r="H416" s="43">
        <v>114</v>
      </c>
      <c r="I416" s="43">
        <v>120</v>
      </c>
      <c r="J416" s="84"/>
      <c r="K416" s="84">
        <f t="shared" si="22"/>
        <v>0</v>
      </c>
      <c r="L416" s="84">
        <f t="shared" si="21"/>
        <v>0</v>
      </c>
      <c r="M416" s="84"/>
    </row>
    <row r="417" spans="1:13" ht="47.25">
      <c r="A417" s="45" t="s">
        <v>274</v>
      </c>
      <c r="B417" s="42" t="s">
        <v>80</v>
      </c>
      <c r="C417" s="42" t="s">
        <v>369</v>
      </c>
      <c r="D417" s="42"/>
      <c r="E417" s="43">
        <f>E418</f>
        <v>8650.7</v>
      </c>
      <c r="F417" s="43">
        <f>F418</f>
        <v>0</v>
      </c>
      <c r="G417" s="43">
        <f>G418</f>
        <v>8650.7</v>
      </c>
      <c r="H417" s="43">
        <f>H418</f>
        <v>9431</v>
      </c>
      <c r="I417" s="43">
        <f>I418</f>
        <v>10333.3</v>
      </c>
      <c r="J417" s="84"/>
      <c r="K417" s="84">
        <f t="shared" si="22"/>
        <v>0</v>
      </c>
      <c r="L417" s="84">
        <f t="shared" si="21"/>
        <v>0</v>
      </c>
      <c r="M417" s="84"/>
    </row>
    <row r="418" spans="1:13" ht="31.5">
      <c r="A418" s="45" t="s">
        <v>10</v>
      </c>
      <c r="B418" s="42" t="s">
        <v>80</v>
      </c>
      <c r="C418" s="42" t="s">
        <v>369</v>
      </c>
      <c r="D418" s="42" t="s">
        <v>11</v>
      </c>
      <c r="E418" s="37">
        <f>8564.2+86.5</f>
        <v>8650.7</v>
      </c>
      <c r="F418" s="134"/>
      <c r="G418" s="37">
        <f>E418+F418</f>
        <v>8650.7</v>
      </c>
      <c r="H418" s="37">
        <f>94.3+9336.7</f>
        <v>9431</v>
      </c>
      <c r="I418" s="37">
        <f>103.3+10230</f>
        <v>10333.3</v>
      </c>
      <c r="J418" s="84"/>
      <c r="K418" s="84">
        <f t="shared" si="22"/>
        <v>0</v>
      </c>
      <c r="L418" s="84">
        <f t="shared" si="21"/>
        <v>0</v>
      </c>
      <c r="M418" s="84"/>
    </row>
    <row r="419" spans="1:13" ht="31.5">
      <c r="A419" s="45" t="s">
        <v>227</v>
      </c>
      <c r="B419" s="42" t="s">
        <v>80</v>
      </c>
      <c r="C419" s="42" t="s">
        <v>122</v>
      </c>
      <c r="D419" s="42"/>
      <c r="E419" s="43">
        <f>E420</f>
        <v>3500.6</v>
      </c>
      <c r="F419" s="43">
        <f>F420</f>
        <v>0</v>
      </c>
      <c r="G419" s="43">
        <f>G420</f>
        <v>3500.6</v>
      </c>
      <c r="H419" s="43">
        <f>H420</f>
        <v>3500.6</v>
      </c>
      <c r="I419" s="43">
        <f>I420</f>
        <v>3500.6</v>
      </c>
      <c r="J419" s="84"/>
      <c r="K419" s="84">
        <f t="shared" si="22"/>
        <v>0</v>
      </c>
      <c r="L419" s="84">
        <f t="shared" si="21"/>
        <v>0</v>
      </c>
      <c r="M419" s="84"/>
    </row>
    <row r="420" spans="1:13" ht="31.5">
      <c r="A420" s="45" t="s">
        <v>10</v>
      </c>
      <c r="B420" s="42" t="s">
        <v>80</v>
      </c>
      <c r="C420" s="42" t="s">
        <v>122</v>
      </c>
      <c r="D420" s="42" t="s">
        <v>11</v>
      </c>
      <c r="E420" s="43">
        <v>3500.6</v>
      </c>
      <c r="F420" s="134"/>
      <c r="G420" s="37">
        <f>E420+F420</f>
        <v>3500.6</v>
      </c>
      <c r="H420" s="43">
        <v>3500.6</v>
      </c>
      <c r="I420" s="43">
        <v>3500.6</v>
      </c>
      <c r="J420" s="84"/>
      <c r="K420" s="84">
        <f t="shared" si="22"/>
        <v>0</v>
      </c>
      <c r="L420" s="84">
        <f t="shared" si="21"/>
        <v>0</v>
      </c>
      <c r="M420" s="84"/>
    </row>
    <row r="421" spans="1:13" ht="47.25">
      <c r="A421" s="45" t="s">
        <v>418</v>
      </c>
      <c r="B421" s="42" t="s">
        <v>80</v>
      </c>
      <c r="C421" s="42" t="s">
        <v>419</v>
      </c>
      <c r="D421" s="42"/>
      <c r="E421" s="43">
        <f>E422</f>
        <v>1040.6</v>
      </c>
      <c r="F421" s="43">
        <f>F422</f>
        <v>0</v>
      </c>
      <c r="G421" s="43">
        <f>G422</f>
        <v>1040.6</v>
      </c>
      <c r="H421" s="43">
        <f>H422</f>
        <v>0</v>
      </c>
      <c r="I421" s="43">
        <f>I422</f>
        <v>0</v>
      </c>
      <c r="J421" s="84"/>
      <c r="K421" s="84">
        <f t="shared" si="22"/>
        <v>0</v>
      </c>
      <c r="L421" s="84">
        <f t="shared" si="21"/>
        <v>0</v>
      </c>
      <c r="M421" s="84"/>
    </row>
    <row r="422" spans="1:13" ht="31.5">
      <c r="A422" s="45" t="s">
        <v>10</v>
      </c>
      <c r="B422" s="42" t="s">
        <v>80</v>
      </c>
      <c r="C422" s="42" t="s">
        <v>419</v>
      </c>
      <c r="D422" s="42" t="s">
        <v>11</v>
      </c>
      <c r="E422" s="43">
        <v>1040.6</v>
      </c>
      <c r="F422" s="129"/>
      <c r="G422" s="43">
        <f>E422+F422</f>
        <v>1040.6</v>
      </c>
      <c r="H422" s="43">
        <v>0</v>
      </c>
      <c r="I422" s="43">
        <v>0</v>
      </c>
      <c r="J422" s="84"/>
      <c r="K422" s="84">
        <f t="shared" si="22"/>
        <v>0</v>
      </c>
      <c r="L422" s="84">
        <f t="shared" si="21"/>
        <v>0</v>
      </c>
      <c r="M422" s="84"/>
    </row>
    <row r="423" spans="1:13" ht="31.5">
      <c r="A423" s="175" t="s">
        <v>304</v>
      </c>
      <c r="B423" s="81" t="s">
        <v>80</v>
      </c>
      <c r="C423" s="11" t="s">
        <v>125</v>
      </c>
      <c r="D423" s="11" t="s">
        <v>0</v>
      </c>
      <c r="E423" s="12">
        <f>E428+E424</f>
        <v>5363.900000000001</v>
      </c>
      <c r="F423" s="12">
        <f>F428+F424</f>
        <v>0</v>
      </c>
      <c r="G423" s="12">
        <f>G428+G424</f>
        <v>5363.900000000001</v>
      </c>
      <c r="H423" s="12">
        <f>H428+H424</f>
        <v>5363.900000000001</v>
      </c>
      <c r="I423" s="12">
        <f>I428+I424</f>
        <v>5363.900000000001</v>
      </c>
      <c r="J423" s="84"/>
      <c r="K423" s="84">
        <f t="shared" si="22"/>
        <v>0</v>
      </c>
      <c r="L423" s="84">
        <f t="shared" si="21"/>
        <v>0</v>
      </c>
      <c r="M423" s="84"/>
    </row>
    <row r="424" spans="1:13" s="114" customFormat="1" ht="31.5">
      <c r="A424" s="45" t="s">
        <v>264</v>
      </c>
      <c r="B424" s="42" t="s">
        <v>80</v>
      </c>
      <c r="C424" s="42" t="s">
        <v>265</v>
      </c>
      <c r="D424" s="42"/>
      <c r="E424" s="43">
        <f>E426+E427+E425</f>
        <v>870.6000000000001</v>
      </c>
      <c r="F424" s="43">
        <f>F426+F427+F425</f>
        <v>0</v>
      </c>
      <c r="G424" s="43">
        <f>G426+G427+G425</f>
        <v>870.6000000000001</v>
      </c>
      <c r="H424" s="43">
        <f>H426+H427+H425</f>
        <v>870.6000000000001</v>
      </c>
      <c r="I424" s="43">
        <f>I426+I427+I425</f>
        <v>870.6000000000001</v>
      </c>
      <c r="J424" s="84"/>
      <c r="K424" s="84">
        <f t="shared" si="22"/>
        <v>0</v>
      </c>
      <c r="L424" s="84">
        <f t="shared" si="21"/>
        <v>0</v>
      </c>
      <c r="M424" s="84"/>
    </row>
    <row r="425" spans="1:13" s="114" customFormat="1" ht="63">
      <c r="A425" s="45" t="s">
        <v>14</v>
      </c>
      <c r="B425" s="42" t="s">
        <v>80</v>
      </c>
      <c r="C425" s="42" t="s">
        <v>265</v>
      </c>
      <c r="D425" s="42" t="s">
        <v>15</v>
      </c>
      <c r="E425" s="43">
        <v>24.7</v>
      </c>
      <c r="F425" s="129">
        <v>0</v>
      </c>
      <c r="G425" s="43">
        <f>E425+F425</f>
        <v>24.7</v>
      </c>
      <c r="H425" s="43">
        <v>24.7</v>
      </c>
      <c r="I425" s="43">
        <v>24.7</v>
      </c>
      <c r="J425" s="84"/>
      <c r="K425" s="84">
        <f t="shared" si="22"/>
        <v>0</v>
      </c>
      <c r="L425" s="84">
        <f t="shared" si="21"/>
        <v>0</v>
      </c>
      <c r="M425" s="84"/>
    </row>
    <row r="426" spans="1:13" s="114" customFormat="1" ht="31.5">
      <c r="A426" s="45" t="s">
        <v>459</v>
      </c>
      <c r="B426" s="42" t="s">
        <v>80</v>
      </c>
      <c r="C426" s="42" t="s">
        <v>265</v>
      </c>
      <c r="D426" s="42" t="s">
        <v>8</v>
      </c>
      <c r="E426" s="43">
        <v>99.7</v>
      </c>
      <c r="F426" s="129">
        <v>0</v>
      </c>
      <c r="G426" s="43">
        <f>E426+F426</f>
        <v>99.7</v>
      </c>
      <c r="H426" s="43">
        <v>99.7</v>
      </c>
      <c r="I426" s="43">
        <v>99.7</v>
      </c>
      <c r="J426" s="84"/>
      <c r="K426" s="84">
        <f t="shared" si="22"/>
        <v>0</v>
      </c>
      <c r="L426" s="84">
        <f t="shared" si="21"/>
        <v>0</v>
      </c>
      <c r="M426" s="84"/>
    </row>
    <row r="427" spans="1:13" s="114" customFormat="1" ht="31.5">
      <c r="A427" s="45" t="s">
        <v>10</v>
      </c>
      <c r="B427" s="42" t="s">
        <v>80</v>
      </c>
      <c r="C427" s="42" t="s">
        <v>265</v>
      </c>
      <c r="D427" s="42" t="s">
        <v>11</v>
      </c>
      <c r="E427" s="43">
        <v>746.2</v>
      </c>
      <c r="F427" s="134"/>
      <c r="G427" s="43">
        <f>E427+F427</f>
        <v>746.2</v>
      </c>
      <c r="H427" s="43">
        <v>746.2</v>
      </c>
      <c r="I427" s="43">
        <v>746.2</v>
      </c>
      <c r="J427" s="84"/>
      <c r="K427" s="84">
        <f t="shared" si="22"/>
        <v>0</v>
      </c>
      <c r="L427" s="84">
        <f t="shared" si="21"/>
        <v>0</v>
      </c>
      <c r="M427" s="84"/>
    </row>
    <row r="428" spans="1:13" ht="31.5">
      <c r="A428" s="45" t="s">
        <v>185</v>
      </c>
      <c r="B428" s="42" t="s">
        <v>80</v>
      </c>
      <c r="C428" s="42" t="s">
        <v>183</v>
      </c>
      <c r="D428" s="42"/>
      <c r="E428" s="43">
        <f>E431+E429+E430</f>
        <v>4493.3</v>
      </c>
      <c r="F428" s="43">
        <f>F431+F429+F430</f>
        <v>0</v>
      </c>
      <c r="G428" s="43">
        <f>G431+G429+G430</f>
        <v>4493.3</v>
      </c>
      <c r="H428" s="43">
        <f>H431+H429+H430</f>
        <v>4493.3</v>
      </c>
      <c r="I428" s="43">
        <f>I431+I429+I430</f>
        <v>4493.3</v>
      </c>
      <c r="J428" s="84"/>
      <c r="K428" s="84">
        <f t="shared" si="22"/>
        <v>0</v>
      </c>
      <c r="L428" s="84">
        <f t="shared" si="21"/>
        <v>0</v>
      </c>
      <c r="M428" s="84"/>
    </row>
    <row r="429" spans="1:13" ht="63">
      <c r="A429" s="45" t="s">
        <v>14</v>
      </c>
      <c r="B429" s="42" t="s">
        <v>80</v>
      </c>
      <c r="C429" s="42" t="s">
        <v>183</v>
      </c>
      <c r="D429" s="42" t="s">
        <v>15</v>
      </c>
      <c r="E429" s="43">
        <v>195.3</v>
      </c>
      <c r="F429" s="129">
        <v>-104</v>
      </c>
      <c r="G429" s="43">
        <f>E429+F429</f>
        <v>91.30000000000001</v>
      </c>
      <c r="H429" s="43">
        <v>195.3</v>
      </c>
      <c r="I429" s="43">
        <v>195.3</v>
      </c>
      <c r="J429" s="84"/>
      <c r="K429" s="84">
        <f t="shared" si="22"/>
        <v>-104</v>
      </c>
      <c r="L429" s="84">
        <f t="shared" si="21"/>
        <v>0</v>
      </c>
      <c r="M429" s="84"/>
    </row>
    <row r="430" spans="1:13" ht="31.5">
      <c r="A430" s="45" t="s">
        <v>459</v>
      </c>
      <c r="B430" s="42" t="s">
        <v>80</v>
      </c>
      <c r="C430" s="42" t="s">
        <v>183</v>
      </c>
      <c r="D430" s="42" t="s">
        <v>8</v>
      </c>
      <c r="E430" s="43">
        <v>0</v>
      </c>
      <c r="F430" s="129">
        <v>104</v>
      </c>
      <c r="G430" s="43">
        <f>E430+F430</f>
        <v>104</v>
      </c>
      <c r="H430" s="43">
        <v>0</v>
      </c>
      <c r="I430" s="43">
        <v>0</v>
      </c>
      <c r="J430" s="84"/>
      <c r="K430" s="84"/>
      <c r="L430" s="84">
        <f t="shared" si="21"/>
        <v>0</v>
      </c>
      <c r="M430" s="84"/>
    </row>
    <row r="431" spans="1:13" ht="31.5">
      <c r="A431" s="45" t="s">
        <v>10</v>
      </c>
      <c r="B431" s="42" t="s">
        <v>80</v>
      </c>
      <c r="C431" s="42" t="s">
        <v>183</v>
      </c>
      <c r="D431" s="42" t="s">
        <v>11</v>
      </c>
      <c r="E431" s="43">
        <v>4298</v>
      </c>
      <c r="F431" s="134"/>
      <c r="G431" s="43">
        <f>E431+F431</f>
        <v>4298</v>
      </c>
      <c r="H431" s="43">
        <v>4298</v>
      </c>
      <c r="I431" s="43">
        <v>4298</v>
      </c>
      <c r="J431" s="84"/>
      <c r="K431" s="84">
        <f t="shared" si="22"/>
        <v>0</v>
      </c>
      <c r="L431" s="84">
        <f t="shared" si="21"/>
        <v>0</v>
      </c>
      <c r="M431" s="84"/>
    </row>
    <row r="432" spans="1:13" ht="31.5">
      <c r="A432" s="10" t="s">
        <v>67</v>
      </c>
      <c r="B432" s="81" t="s">
        <v>80</v>
      </c>
      <c r="C432" s="11" t="s">
        <v>118</v>
      </c>
      <c r="D432" s="11" t="s">
        <v>0</v>
      </c>
      <c r="E432" s="12">
        <f>E433+E441+E437</f>
        <v>78228.8</v>
      </c>
      <c r="F432" s="12">
        <f>F433+F441+F437</f>
        <v>0</v>
      </c>
      <c r="G432" s="12">
        <f>G433+G441+G437</f>
        <v>78228.8</v>
      </c>
      <c r="H432" s="12">
        <f>H433+H441+H437</f>
        <v>76047</v>
      </c>
      <c r="I432" s="12">
        <f>I433+I441+I437</f>
        <v>76705.4</v>
      </c>
      <c r="J432" s="84"/>
      <c r="K432" s="84">
        <f t="shared" si="22"/>
        <v>0</v>
      </c>
      <c r="L432" s="84">
        <f t="shared" si="21"/>
        <v>0</v>
      </c>
      <c r="M432" s="84"/>
    </row>
    <row r="433" spans="1:13" ht="31.5">
      <c r="A433" s="40" t="s">
        <v>13</v>
      </c>
      <c r="B433" s="42" t="s">
        <v>80</v>
      </c>
      <c r="C433" s="42" t="s">
        <v>119</v>
      </c>
      <c r="D433" s="42"/>
      <c r="E433" s="43">
        <f>E434+E435+E436</f>
        <v>35890.7</v>
      </c>
      <c r="F433" s="43">
        <f>F434+F435+F436</f>
        <v>0</v>
      </c>
      <c r="G433" s="43">
        <f>G434+G435+G436</f>
        <v>35890.7</v>
      </c>
      <c r="H433" s="43">
        <f>H434+H435+H436</f>
        <v>33949.3</v>
      </c>
      <c r="I433" s="43">
        <f>I434+I435+I436</f>
        <v>34038.9</v>
      </c>
      <c r="J433" s="84"/>
      <c r="K433" s="84">
        <f t="shared" si="22"/>
        <v>0</v>
      </c>
      <c r="L433" s="84">
        <f t="shared" si="21"/>
        <v>0</v>
      </c>
      <c r="M433" s="84"/>
    </row>
    <row r="434" spans="1:13" ht="63">
      <c r="A434" s="40" t="s">
        <v>14</v>
      </c>
      <c r="B434" s="42" t="s">
        <v>80</v>
      </c>
      <c r="C434" s="42" t="s">
        <v>119</v>
      </c>
      <c r="D434" s="42" t="s">
        <v>15</v>
      </c>
      <c r="E434" s="43">
        <f>27710.7+0.8</f>
        <v>27711.5</v>
      </c>
      <c r="F434" s="134"/>
      <c r="G434" s="37">
        <f>E434+F434</f>
        <v>27711.5</v>
      </c>
      <c r="H434" s="43">
        <v>27728</v>
      </c>
      <c r="I434" s="43">
        <v>27676.2</v>
      </c>
      <c r="J434" s="84"/>
      <c r="K434" s="84">
        <f t="shared" si="22"/>
        <v>0</v>
      </c>
      <c r="L434" s="84">
        <f t="shared" si="21"/>
        <v>0</v>
      </c>
      <c r="M434" s="84"/>
    </row>
    <row r="435" spans="1:13" ht="47.25">
      <c r="A435" s="45" t="s">
        <v>453</v>
      </c>
      <c r="B435" s="42" t="s">
        <v>80</v>
      </c>
      <c r="C435" s="42" t="s">
        <v>119</v>
      </c>
      <c r="D435" s="42" t="s">
        <v>8</v>
      </c>
      <c r="E435" s="43">
        <v>7960.7</v>
      </c>
      <c r="F435" s="129"/>
      <c r="G435" s="43">
        <f>E435+F435</f>
        <v>7960.7</v>
      </c>
      <c r="H435" s="43">
        <v>6002.8</v>
      </c>
      <c r="I435" s="43">
        <v>6144.2</v>
      </c>
      <c r="J435" s="84"/>
      <c r="K435" s="84">
        <f t="shared" si="22"/>
        <v>0</v>
      </c>
      <c r="L435" s="84">
        <f t="shared" si="21"/>
        <v>0</v>
      </c>
      <c r="M435" s="84"/>
    </row>
    <row r="436" spans="1:13" ht="15.75">
      <c r="A436" s="45" t="s">
        <v>9</v>
      </c>
      <c r="B436" s="42" t="s">
        <v>80</v>
      </c>
      <c r="C436" s="42" t="s">
        <v>119</v>
      </c>
      <c r="D436" s="42" t="s">
        <v>12</v>
      </c>
      <c r="E436" s="43">
        <v>218.5</v>
      </c>
      <c r="F436" s="134"/>
      <c r="G436" s="37">
        <f>E436+F436</f>
        <v>218.5</v>
      </c>
      <c r="H436" s="43">
        <v>218.5</v>
      </c>
      <c r="I436" s="43">
        <v>218.5</v>
      </c>
      <c r="J436" s="84"/>
      <c r="K436" s="84">
        <f t="shared" si="22"/>
        <v>0</v>
      </c>
      <c r="L436" s="84">
        <f t="shared" si="21"/>
        <v>0</v>
      </c>
      <c r="M436" s="84"/>
    </row>
    <row r="437" spans="1:13" ht="78.75">
      <c r="A437" s="45" t="s">
        <v>259</v>
      </c>
      <c r="B437" s="42" t="s">
        <v>80</v>
      </c>
      <c r="C437" s="42" t="s">
        <v>324</v>
      </c>
      <c r="D437" s="42"/>
      <c r="E437" s="43">
        <f>E438+E439+E440</f>
        <v>7782.6</v>
      </c>
      <c r="F437" s="43">
        <f>F438+F439+F440</f>
        <v>0</v>
      </c>
      <c r="G437" s="43">
        <f>G438+G439+G440</f>
        <v>7782.6</v>
      </c>
      <c r="H437" s="43">
        <f>H438+H439+H440</f>
        <v>8023.200000000001</v>
      </c>
      <c r="I437" s="43">
        <f>I438+I439+I440</f>
        <v>8329</v>
      </c>
      <c r="J437" s="84"/>
      <c r="K437" s="84">
        <f t="shared" si="22"/>
        <v>0</v>
      </c>
      <c r="L437" s="84">
        <f t="shared" si="21"/>
        <v>0</v>
      </c>
      <c r="M437" s="84"/>
    </row>
    <row r="438" spans="1:13" ht="63">
      <c r="A438" s="40" t="s">
        <v>14</v>
      </c>
      <c r="B438" s="42" t="s">
        <v>80</v>
      </c>
      <c r="C438" s="42" t="s">
        <v>324</v>
      </c>
      <c r="D438" s="42" t="s">
        <v>15</v>
      </c>
      <c r="E438" s="43">
        <f>6683.8-223.4</f>
        <v>6460.400000000001</v>
      </c>
      <c r="F438" s="148"/>
      <c r="G438" s="37">
        <f>E438+F438</f>
        <v>6460.400000000001</v>
      </c>
      <c r="H438" s="43">
        <f>6683.8-59</f>
        <v>6624.8</v>
      </c>
      <c r="I438" s="43">
        <f>6683.8-60.5</f>
        <v>6623.3</v>
      </c>
      <c r="J438" s="84"/>
      <c r="K438" s="84">
        <f t="shared" si="22"/>
        <v>0</v>
      </c>
      <c r="L438" s="84">
        <f t="shared" si="21"/>
        <v>0</v>
      </c>
      <c r="M438" s="84"/>
    </row>
    <row r="439" spans="1:13" ht="47.25">
      <c r="A439" s="45" t="s">
        <v>453</v>
      </c>
      <c r="B439" s="42" t="s">
        <v>80</v>
      </c>
      <c r="C439" s="42" t="s">
        <v>324</v>
      </c>
      <c r="D439" s="42" t="s">
        <v>8</v>
      </c>
      <c r="E439" s="43">
        <v>1302.1</v>
      </c>
      <c r="F439" s="148"/>
      <c r="G439" s="37">
        <f>E439+F439</f>
        <v>1302.1</v>
      </c>
      <c r="H439" s="43">
        <v>1378.3</v>
      </c>
      <c r="I439" s="43">
        <v>1685.6</v>
      </c>
      <c r="J439" s="84"/>
      <c r="K439" s="84">
        <f t="shared" si="22"/>
        <v>0</v>
      </c>
      <c r="L439" s="84">
        <f t="shared" si="21"/>
        <v>0</v>
      </c>
      <c r="M439" s="84"/>
    </row>
    <row r="440" spans="1:13" ht="15.75">
      <c r="A440" s="40" t="s">
        <v>27</v>
      </c>
      <c r="B440" s="42" t="s">
        <v>80</v>
      </c>
      <c r="C440" s="42" t="s">
        <v>324</v>
      </c>
      <c r="D440" s="42" t="s">
        <v>16</v>
      </c>
      <c r="E440" s="43">
        <v>20.1</v>
      </c>
      <c r="F440" s="148"/>
      <c r="G440" s="37">
        <f>E440+F440</f>
        <v>20.1</v>
      </c>
      <c r="H440" s="43">
        <v>20.1</v>
      </c>
      <c r="I440" s="43">
        <v>20.1</v>
      </c>
      <c r="J440" s="84"/>
      <c r="K440" s="84">
        <f t="shared" si="22"/>
        <v>0</v>
      </c>
      <c r="L440" s="84">
        <f t="shared" si="21"/>
        <v>0</v>
      </c>
      <c r="M440" s="84"/>
    </row>
    <row r="441" spans="1:13" ht="31.5">
      <c r="A441" s="40" t="s">
        <v>53</v>
      </c>
      <c r="B441" s="42" t="s">
        <v>80</v>
      </c>
      <c r="C441" s="42" t="s">
        <v>126</v>
      </c>
      <c r="D441" s="42"/>
      <c r="E441" s="43">
        <f>E442+E443</f>
        <v>34555.5</v>
      </c>
      <c r="F441" s="47">
        <f>F442+F443</f>
        <v>0</v>
      </c>
      <c r="G441" s="43">
        <f>G442+G443</f>
        <v>34555.5</v>
      </c>
      <c r="H441" s="43">
        <f>H442+H443</f>
        <v>34074.5</v>
      </c>
      <c r="I441" s="43">
        <f>I442+I443</f>
        <v>34337.5</v>
      </c>
      <c r="J441" s="84"/>
      <c r="K441" s="84">
        <f t="shared" si="22"/>
        <v>0</v>
      </c>
      <c r="L441" s="84">
        <f t="shared" si="21"/>
        <v>0</v>
      </c>
      <c r="M441" s="84"/>
    </row>
    <row r="442" spans="1:13" ht="63">
      <c r="A442" s="40" t="s">
        <v>14</v>
      </c>
      <c r="B442" s="42" t="s">
        <v>80</v>
      </c>
      <c r="C442" s="42" t="s">
        <v>120</v>
      </c>
      <c r="D442" s="42" t="s">
        <v>15</v>
      </c>
      <c r="E442" s="43">
        <v>33216.8</v>
      </c>
      <c r="F442" s="149"/>
      <c r="G442" s="43">
        <f>E442+F442</f>
        <v>33216.8</v>
      </c>
      <c r="H442" s="43">
        <v>33235.7</v>
      </c>
      <c r="I442" s="43">
        <v>33218.4</v>
      </c>
      <c r="J442" s="84"/>
      <c r="K442" s="84">
        <f t="shared" si="22"/>
        <v>0</v>
      </c>
      <c r="L442" s="84">
        <f t="shared" si="21"/>
        <v>0</v>
      </c>
      <c r="M442" s="84"/>
    </row>
    <row r="443" spans="1:13" ht="47.25">
      <c r="A443" s="45" t="s">
        <v>453</v>
      </c>
      <c r="B443" s="42" t="s">
        <v>80</v>
      </c>
      <c r="C443" s="42" t="s">
        <v>120</v>
      </c>
      <c r="D443" s="42" t="s">
        <v>8</v>
      </c>
      <c r="E443" s="43">
        <v>1338.7</v>
      </c>
      <c r="F443" s="149"/>
      <c r="G443" s="43">
        <f>E443+F443</f>
        <v>1338.7</v>
      </c>
      <c r="H443" s="43">
        <v>838.8</v>
      </c>
      <c r="I443" s="43">
        <v>1119.1</v>
      </c>
      <c r="J443" s="84"/>
      <c r="K443" s="84">
        <f t="shared" si="22"/>
        <v>0</v>
      </c>
      <c r="L443" s="84">
        <f t="shared" si="21"/>
        <v>0</v>
      </c>
      <c r="M443" s="84"/>
    </row>
    <row r="444" spans="1:13" ht="15.75">
      <c r="A444" s="76" t="s">
        <v>313</v>
      </c>
      <c r="B444" s="71" t="s">
        <v>80</v>
      </c>
      <c r="C444" s="71" t="s">
        <v>168</v>
      </c>
      <c r="D444" s="71" t="s">
        <v>0</v>
      </c>
      <c r="E444" s="82">
        <f aca="true" t="shared" si="23" ref="E444:H446">E445</f>
        <v>887.5</v>
      </c>
      <c r="F444" s="151">
        <f t="shared" si="23"/>
        <v>0</v>
      </c>
      <c r="G444" s="82">
        <f t="shared" si="23"/>
        <v>887.5</v>
      </c>
      <c r="H444" s="82">
        <f t="shared" si="23"/>
        <v>744.9</v>
      </c>
      <c r="I444" s="82">
        <f>I445</f>
        <v>643.8</v>
      </c>
      <c r="J444" s="84"/>
      <c r="K444" s="84">
        <f t="shared" si="22"/>
        <v>0</v>
      </c>
      <c r="L444" s="84">
        <f t="shared" si="21"/>
        <v>0</v>
      </c>
      <c r="M444" s="84"/>
    </row>
    <row r="445" spans="1:13" ht="47.25">
      <c r="A445" s="10" t="s">
        <v>315</v>
      </c>
      <c r="B445" s="81" t="s">
        <v>80</v>
      </c>
      <c r="C445" s="11" t="s">
        <v>129</v>
      </c>
      <c r="D445" s="11" t="s">
        <v>0</v>
      </c>
      <c r="E445" s="12">
        <f t="shared" si="23"/>
        <v>887.5</v>
      </c>
      <c r="F445" s="150">
        <f t="shared" si="23"/>
        <v>0</v>
      </c>
      <c r="G445" s="12">
        <f t="shared" si="23"/>
        <v>887.5</v>
      </c>
      <c r="H445" s="12">
        <f t="shared" si="23"/>
        <v>744.9</v>
      </c>
      <c r="I445" s="12">
        <f>I446</f>
        <v>643.8</v>
      </c>
      <c r="J445" s="84"/>
      <c r="K445" s="84">
        <f t="shared" si="22"/>
        <v>0</v>
      </c>
      <c r="L445" s="84">
        <f t="shared" si="21"/>
        <v>0</v>
      </c>
      <c r="M445" s="84"/>
    </row>
    <row r="446" spans="1:13" ht="78.75">
      <c r="A446" s="41" t="s">
        <v>82</v>
      </c>
      <c r="B446" s="27" t="s">
        <v>80</v>
      </c>
      <c r="C446" s="35" t="s">
        <v>170</v>
      </c>
      <c r="D446" s="35"/>
      <c r="E446" s="59">
        <f t="shared" si="23"/>
        <v>887.5</v>
      </c>
      <c r="F446" s="152">
        <f t="shared" si="23"/>
        <v>0</v>
      </c>
      <c r="G446" s="59">
        <f t="shared" si="23"/>
        <v>887.5</v>
      </c>
      <c r="H446" s="59">
        <f t="shared" si="23"/>
        <v>744.9</v>
      </c>
      <c r="I446" s="59">
        <f>I447</f>
        <v>643.8</v>
      </c>
      <c r="J446" s="84"/>
      <c r="K446" s="84">
        <f t="shared" si="22"/>
        <v>0</v>
      </c>
      <c r="L446" s="84">
        <f t="shared" si="21"/>
        <v>0</v>
      </c>
      <c r="M446" s="84"/>
    </row>
    <row r="447" spans="1:13" ht="15.75">
      <c r="A447" s="41" t="s">
        <v>27</v>
      </c>
      <c r="B447" s="27" t="s">
        <v>80</v>
      </c>
      <c r="C447" s="35" t="s">
        <v>170</v>
      </c>
      <c r="D447" s="35" t="s">
        <v>16</v>
      </c>
      <c r="E447" s="59">
        <v>887.5</v>
      </c>
      <c r="F447" s="143"/>
      <c r="G447" s="37">
        <f>E447+F447</f>
        <v>887.5</v>
      </c>
      <c r="H447" s="59">
        <v>744.9</v>
      </c>
      <c r="I447" s="59">
        <v>643.8</v>
      </c>
      <c r="J447" s="84"/>
      <c r="K447" s="84">
        <f t="shared" si="22"/>
        <v>0</v>
      </c>
      <c r="L447" s="84">
        <f t="shared" si="21"/>
        <v>0</v>
      </c>
      <c r="M447" s="84"/>
    </row>
    <row r="448" spans="1:13" ht="15.75">
      <c r="A448" s="32" t="s">
        <v>83</v>
      </c>
      <c r="B448" s="33" t="s">
        <v>84</v>
      </c>
      <c r="C448" s="75"/>
      <c r="D448" s="79"/>
      <c r="E448" s="31">
        <f>E453+E459+E449</f>
        <v>109054.8</v>
      </c>
      <c r="F448" s="139">
        <f>F453+F459+F449</f>
        <v>9700</v>
      </c>
      <c r="G448" s="31">
        <f>G453+G459+G449</f>
        <v>118754.8</v>
      </c>
      <c r="H448" s="31">
        <f>H453+H459+H449</f>
        <v>64718.200000000004</v>
      </c>
      <c r="I448" s="31">
        <f>I453+I459+I449</f>
        <v>72724</v>
      </c>
      <c r="J448" s="84"/>
      <c r="K448" s="84">
        <f t="shared" si="22"/>
        <v>9700</v>
      </c>
      <c r="L448" s="84">
        <f t="shared" si="21"/>
        <v>0</v>
      </c>
      <c r="M448" s="84"/>
    </row>
    <row r="449" spans="1:13" ht="31.5">
      <c r="A449" s="76" t="s">
        <v>297</v>
      </c>
      <c r="B449" s="72" t="s">
        <v>84</v>
      </c>
      <c r="C449" s="71" t="s">
        <v>173</v>
      </c>
      <c r="D449" s="71" t="s">
        <v>0</v>
      </c>
      <c r="E449" s="118">
        <f aca="true" t="shared" si="24" ref="E449:I451">E450</f>
        <v>735</v>
      </c>
      <c r="F449" s="118">
        <f t="shared" si="24"/>
        <v>0</v>
      </c>
      <c r="G449" s="118">
        <f t="shared" si="24"/>
        <v>735</v>
      </c>
      <c r="H449" s="118">
        <f t="shared" si="24"/>
        <v>0</v>
      </c>
      <c r="I449" s="118">
        <f t="shared" si="24"/>
        <v>0</v>
      </c>
      <c r="J449" s="84"/>
      <c r="K449" s="84">
        <f t="shared" si="22"/>
        <v>0</v>
      </c>
      <c r="L449" s="84">
        <f t="shared" si="21"/>
        <v>0</v>
      </c>
      <c r="M449" s="84"/>
    </row>
    <row r="450" spans="1:13" ht="31.5">
      <c r="A450" s="10" t="s">
        <v>299</v>
      </c>
      <c r="B450" s="78" t="s">
        <v>84</v>
      </c>
      <c r="C450" s="11" t="s">
        <v>179</v>
      </c>
      <c r="D450" s="11" t="s">
        <v>0</v>
      </c>
      <c r="E450" s="119">
        <f t="shared" si="24"/>
        <v>735</v>
      </c>
      <c r="F450" s="119">
        <f t="shared" si="24"/>
        <v>0</v>
      </c>
      <c r="G450" s="119">
        <f t="shared" si="24"/>
        <v>735</v>
      </c>
      <c r="H450" s="119">
        <f t="shared" si="24"/>
        <v>0</v>
      </c>
      <c r="I450" s="119">
        <f t="shared" si="24"/>
        <v>0</v>
      </c>
      <c r="J450" s="84"/>
      <c r="K450" s="84">
        <f t="shared" si="22"/>
        <v>0</v>
      </c>
      <c r="L450" s="84">
        <f t="shared" si="21"/>
        <v>0</v>
      </c>
      <c r="M450" s="84"/>
    </row>
    <row r="451" spans="1:13" ht="31.5">
      <c r="A451" s="40" t="s">
        <v>46</v>
      </c>
      <c r="B451" s="42" t="s">
        <v>84</v>
      </c>
      <c r="C451" s="15" t="s">
        <v>180</v>
      </c>
      <c r="D451" s="21"/>
      <c r="E451" s="120">
        <f t="shared" si="24"/>
        <v>735</v>
      </c>
      <c r="F451" s="120">
        <f t="shared" si="24"/>
        <v>0</v>
      </c>
      <c r="G451" s="120">
        <f t="shared" si="24"/>
        <v>735</v>
      </c>
      <c r="H451" s="120">
        <f t="shared" si="24"/>
        <v>0</v>
      </c>
      <c r="I451" s="120">
        <f t="shared" si="24"/>
        <v>0</v>
      </c>
      <c r="J451" s="84"/>
      <c r="K451" s="84">
        <f t="shared" si="22"/>
        <v>0</v>
      </c>
      <c r="L451" s="84">
        <f t="shared" si="21"/>
        <v>0</v>
      </c>
      <c r="M451" s="84"/>
    </row>
    <row r="452" spans="1:13" ht="47.25">
      <c r="A452" s="45" t="s">
        <v>453</v>
      </c>
      <c r="B452" s="42" t="s">
        <v>84</v>
      </c>
      <c r="C452" s="15" t="s">
        <v>180</v>
      </c>
      <c r="D452" s="42" t="s">
        <v>8</v>
      </c>
      <c r="E452" s="120">
        <v>735</v>
      </c>
      <c r="F452" s="148"/>
      <c r="G452" s="120">
        <v>735</v>
      </c>
      <c r="H452" s="120">
        <v>0</v>
      </c>
      <c r="I452" s="120">
        <v>0</v>
      </c>
      <c r="J452" s="84"/>
      <c r="K452" s="84">
        <f t="shared" si="22"/>
        <v>0</v>
      </c>
      <c r="L452" s="84">
        <f t="shared" si="21"/>
        <v>0</v>
      </c>
      <c r="M452" s="84"/>
    </row>
    <row r="453" spans="1:13" ht="31.5">
      <c r="A453" s="76" t="s">
        <v>306</v>
      </c>
      <c r="B453" s="172" t="s">
        <v>84</v>
      </c>
      <c r="C453" s="71" t="s">
        <v>147</v>
      </c>
      <c r="D453" s="71" t="s">
        <v>0</v>
      </c>
      <c r="E453" s="77">
        <f aca="true" t="shared" si="25" ref="E453:I454">E454</f>
        <v>21374</v>
      </c>
      <c r="F453" s="118">
        <f t="shared" si="25"/>
        <v>0</v>
      </c>
      <c r="G453" s="77">
        <f t="shared" si="25"/>
        <v>21374</v>
      </c>
      <c r="H453" s="77">
        <f t="shared" si="25"/>
        <v>17086.4</v>
      </c>
      <c r="I453" s="77">
        <f t="shared" si="25"/>
        <v>17518.6</v>
      </c>
      <c r="J453" s="84"/>
      <c r="K453" s="84">
        <f t="shared" si="22"/>
        <v>0</v>
      </c>
      <c r="L453" s="84">
        <f t="shared" si="21"/>
        <v>0</v>
      </c>
      <c r="M453" s="84"/>
    </row>
    <row r="454" spans="1:13" ht="31.5">
      <c r="A454" s="10" t="s">
        <v>323</v>
      </c>
      <c r="B454" s="78" t="s">
        <v>84</v>
      </c>
      <c r="C454" s="11" t="s">
        <v>148</v>
      </c>
      <c r="D454" s="11" t="s">
        <v>0</v>
      </c>
      <c r="E454" s="12">
        <f t="shared" si="25"/>
        <v>21374</v>
      </c>
      <c r="F454" s="150">
        <f t="shared" si="25"/>
        <v>0</v>
      </c>
      <c r="G454" s="12">
        <f t="shared" si="25"/>
        <v>21374</v>
      </c>
      <c r="H454" s="12">
        <f t="shared" si="25"/>
        <v>17086.4</v>
      </c>
      <c r="I454" s="12">
        <f t="shared" si="25"/>
        <v>17518.6</v>
      </c>
      <c r="J454" s="84"/>
      <c r="K454" s="84">
        <f t="shared" si="22"/>
        <v>0</v>
      </c>
      <c r="L454" s="84">
        <f t="shared" si="21"/>
        <v>0</v>
      </c>
      <c r="M454" s="84"/>
    </row>
    <row r="455" spans="1:13" ht="31.5">
      <c r="A455" s="53" t="s">
        <v>13</v>
      </c>
      <c r="B455" s="42" t="s">
        <v>84</v>
      </c>
      <c r="C455" s="15" t="s">
        <v>149</v>
      </c>
      <c r="D455" s="21"/>
      <c r="E455" s="20">
        <f>SUM(E456:E458)</f>
        <v>21374</v>
      </c>
      <c r="F455" s="153">
        <f>SUM(F456:F458)</f>
        <v>0</v>
      </c>
      <c r="G455" s="20">
        <f>SUM(G456:G458)</f>
        <v>21374</v>
      </c>
      <c r="H455" s="20">
        <f>SUM(H456:H458)</f>
        <v>17086.4</v>
      </c>
      <c r="I455" s="20">
        <f>SUM(I456:I458)</f>
        <v>17518.6</v>
      </c>
      <c r="J455" s="84"/>
      <c r="K455" s="84">
        <f t="shared" si="22"/>
        <v>0</v>
      </c>
      <c r="L455" s="84">
        <f t="shared" si="21"/>
        <v>0</v>
      </c>
      <c r="M455" s="84"/>
    </row>
    <row r="456" spans="1:13" ht="63">
      <c r="A456" s="52" t="s">
        <v>14</v>
      </c>
      <c r="B456" s="42" t="s">
        <v>84</v>
      </c>
      <c r="C456" s="15" t="s">
        <v>149</v>
      </c>
      <c r="D456" s="42" t="s">
        <v>15</v>
      </c>
      <c r="E456" s="20">
        <v>19945</v>
      </c>
      <c r="F456" s="148"/>
      <c r="G456" s="20">
        <v>19945</v>
      </c>
      <c r="H456" s="20">
        <v>17086.4</v>
      </c>
      <c r="I456" s="20">
        <v>17518.6</v>
      </c>
      <c r="J456" s="84"/>
      <c r="K456" s="84">
        <f t="shared" si="22"/>
        <v>0</v>
      </c>
      <c r="L456" s="84">
        <f t="shared" si="21"/>
        <v>0</v>
      </c>
      <c r="M456" s="84"/>
    </row>
    <row r="457" spans="1:13" ht="47.25">
      <c r="A457" s="45" t="s">
        <v>453</v>
      </c>
      <c r="B457" s="42" t="s">
        <v>84</v>
      </c>
      <c r="C457" s="15" t="s">
        <v>149</v>
      </c>
      <c r="D457" s="42" t="s">
        <v>8</v>
      </c>
      <c r="E457" s="20">
        <f>2137.7-735</f>
        <v>1402.6999999999998</v>
      </c>
      <c r="F457" s="148"/>
      <c r="G457" s="20">
        <f>2137.7-735</f>
        <v>1402.6999999999998</v>
      </c>
      <c r="H457" s="20">
        <v>0</v>
      </c>
      <c r="I457" s="20">
        <v>0</v>
      </c>
      <c r="J457" s="84"/>
      <c r="K457" s="84">
        <f t="shared" si="22"/>
        <v>0</v>
      </c>
      <c r="L457" s="84">
        <f t="shared" si="21"/>
        <v>0</v>
      </c>
      <c r="M457" s="84"/>
    </row>
    <row r="458" spans="1:13" ht="15.75">
      <c r="A458" s="45" t="s">
        <v>9</v>
      </c>
      <c r="B458" s="42" t="s">
        <v>84</v>
      </c>
      <c r="C458" s="15" t="s">
        <v>149</v>
      </c>
      <c r="D458" s="42" t="s">
        <v>12</v>
      </c>
      <c r="E458" s="20">
        <v>26.3</v>
      </c>
      <c r="F458" s="148"/>
      <c r="G458" s="20">
        <v>26.3</v>
      </c>
      <c r="H458" s="20">
        <v>0</v>
      </c>
      <c r="I458" s="20">
        <v>0</v>
      </c>
      <c r="J458" s="84"/>
      <c r="K458" s="84">
        <f t="shared" si="22"/>
        <v>0</v>
      </c>
      <c r="L458" s="84">
        <f t="shared" si="21"/>
        <v>0</v>
      </c>
      <c r="M458" s="84"/>
    </row>
    <row r="459" spans="1:13" ht="15.75">
      <c r="A459" s="70" t="s">
        <v>30</v>
      </c>
      <c r="B459" s="72" t="s">
        <v>84</v>
      </c>
      <c r="C459" s="72" t="s">
        <v>96</v>
      </c>
      <c r="D459" s="72" t="s">
        <v>0</v>
      </c>
      <c r="E459" s="73">
        <f>E465+E467+E469+E471+E473+E475+E460+E485+E477+E479+E483+E463+E481</f>
        <v>86945.8</v>
      </c>
      <c r="F459" s="73">
        <f>F465+F467+F469+F471+F473+F475+F460+F485+F477+F479+F483+F463+F481</f>
        <v>9700</v>
      </c>
      <c r="G459" s="73">
        <f>G465+G467+G469+G471+G473+G475+G460+G485+G477+G479+G483+G463+G481</f>
        <v>96645.8</v>
      </c>
      <c r="H459" s="73">
        <f>H465+H467+H469+H471+H473+H475+H460+H485+H477+H479+H483+H463+H481</f>
        <v>47631.8</v>
      </c>
      <c r="I459" s="73">
        <f>I465+I467+I469+I471+I473+I475+I460+I485+I477+I479+I483+I463+I481</f>
        <v>55205.4</v>
      </c>
      <c r="J459" s="84"/>
      <c r="K459" s="84">
        <f t="shared" si="22"/>
        <v>9700</v>
      </c>
      <c r="L459" s="84">
        <f t="shared" si="21"/>
        <v>0</v>
      </c>
      <c r="M459" s="84"/>
    </row>
    <row r="460" spans="1:13" ht="31.5">
      <c r="A460" s="22" t="s">
        <v>60</v>
      </c>
      <c r="B460" s="27" t="s">
        <v>84</v>
      </c>
      <c r="C460" s="42" t="s">
        <v>103</v>
      </c>
      <c r="D460" s="60"/>
      <c r="E460" s="43">
        <f>E462+E461</f>
        <v>42803.1</v>
      </c>
      <c r="F460" s="141">
        <f>F462+F461</f>
        <v>0</v>
      </c>
      <c r="G460" s="43">
        <f>G462+G461</f>
        <v>42803.1</v>
      </c>
      <c r="H460" s="43">
        <f>H462+H461</f>
        <v>10725</v>
      </c>
      <c r="I460" s="43">
        <f>I462+I461</f>
        <v>0</v>
      </c>
      <c r="J460" s="84"/>
      <c r="K460" s="84">
        <f t="shared" si="22"/>
        <v>0</v>
      </c>
      <c r="L460" s="84">
        <f t="shared" si="21"/>
        <v>0</v>
      </c>
      <c r="M460" s="84"/>
    </row>
    <row r="461" spans="1:13" ht="47.25">
      <c r="A461" s="45" t="s">
        <v>453</v>
      </c>
      <c r="B461" s="27" t="s">
        <v>84</v>
      </c>
      <c r="C461" s="42" t="s">
        <v>103</v>
      </c>
      <c r="D461" s="42" t="s">
        <v>8</v>
      </c>
      <c r="E461" s="43">
        <v>5595.9</v>
      </c>
      <c r="F461" s="120">
        <v>0</v>
      </c>
      <c r="G461" s="43">
        <f>E461+F461</f>
        <v>5595.9</v>
      </c>
      <c r="H461" s="43">
        <v>5000</v>
      </c>
      <c r="I461" s="43">
        <v>0</v>
      </c>
      <c r="J461" s="84"/>
      <c r="K461" s="84">
        <f t="shared" si="22"/>
        <v>0</v>
      </c>
      <c r="L461" s="84">
        <f t="shared" si="21"/>
        <v>0</v>
      </c>
      <c r="M461" s="84"/>
    </row>
    <row r="462" spans="1:13" ht="15.75">
      <c r="A462" s="46" t="s">
        <v>9</v>
      </c>
      <c r="B462" s="42" t="s">
        <v>84</v>
      </c>
      <c r="C462" s="42" t="s">
        <v>103</v>
      </c>
      <c r="D462" s="42" t="s">
        <v>12</v>
      </c>
      <c r="E462" s="43">
        <v>37207.2</v>
      </c>
      <c r="F462" s="120"/>
      <c r="G462" s="43">
        <f>E462+F462</f>
        <v>37207.2</v>
      </c>
      <c r="H462" s="43">
        <v>5725</v>
      </c>
      <c r="I462" s="43">
        <v>0</v>
      </c>
      <c r="J462" s="84"/>
      <c r="K462" s="84">
        <f t="shared" si="22"/>
        <v>0</v>
      </c>
      <c r="L462" s="84">
        <f t="shared" si="21"/>
        <v>0</v>
      </c>
      <c r="M462" s="84"/>
    </row>
    <row r="463" spans="1:13" ht="63">
      <c r="A463" s="22" t="s">
        <v>397</v>
      </c>
      <c r="B463" s="42" t="s">
        <v>84</v>
      </c>
      <c r="C463" s="42" t="s">
        <v>398</v>
      </c>
      <c r="D463" s="21"/>
      <c r="E463" s="43">
        <f>E464</f>
        <v>34.1</v>
      </c>
      <c r="F463" s="141">
        <f>F464</f>
        <v>0</v>
      </c>
      <c r="G463" s="43">
        <f>G464</f>
        <v>34.1</v>
      </c>
      <c r="H463" s="43">
        <f>H464</f>
        <v>0</v>
      </c>
      <c r="I463" s="43">
        <f>I464</f>
        <v>0</v>
      </c>
      <c r="J463" s="84"/>
      <c r="K463" s="84">
        <f t="shared" si="22"/>
        <v>0</v>
      </c>
      <c r="L463" s="84">
        <f t="shared" si="21"/>
        <v>0</v>
      </c>
      <c r="M463" s="84"/>
    </row>
    <row r="464" spans="1:13" ht="47.25">
      <c r="A464" s="45" t="s">
        <v>453</v>
      </c>
      <c r="B464" s="42" t="s">
        <v>84</v>
      </c>
      <c r="C464" s="42" t="s">
        <v>398</v>
      </c>
      <c r="D464" s="21" t="s">
        <v>8</v>
      </c>
      <c r="E464" s="43">
        <v>34.1</v>
      </c>
      <c r="F464" s="120"/>
      <c r="G464" s="43">
        <f>E464+F464</f>
        <v>34.1</v>
      </c>
      <c r="H464" s="43">
        <v>0</v>
      </c>
      <c r="I464" s="43">
        <v>0</v>
      </c>
      <c r="J464" s="84"/>
      <c r="K464" s="84">
        <f t="shared" si="22"/>
        <v>0</v>
      </c>
      <c r="L464" s="84">
        <f t="shared" si="21"/>
        <v>0</v>
      </c>
      <c r="M464" s="84"/>
    </row>
    <row r="465" spans="1:13" ht="94.5">
      <c r="A465" s="66" t="s">
        <v>191</v>
      </c>
      <c r="B465" s="42" t="s">
        <v>84</v>
      </c>
      <c r="C465" s="168" t="s">
        <v>98</v>
      </c>
      <c r="D465" s="169"/>
      <c r="E465" s="47">
        <f>E466</f>
        <v>1</v>
      </c>
      <c r="F465" s="154">
        <f>F466</f>
        <v>0</v>
      </c>
      <c r="G465" s="47">
        <f>G466</f>
        <v>1</v>
      </c>
      <c r="H465" s="47">
        <f>H466</f>
        <v>1</v>
      </c>
      <c r="I465" s="47">
        <f>I466</f>
        <v>1</v>
      </c>
      <c r="J465" s="84"/>
      <c r="K465" s="84">
        <f t="shared" si="22"/>
        <v>0</v>
      </c>
      <c r="L465" s="84">
        <f t="shared" si="21"/>
        <v>0</v>
      </c>
      <c r="M465" s="84"/>
    </row>
    <row r="466" spans="1:13" ht="47.25">
      <c r="A466" s="45" t="s">
        <v>453</v>
      </c>
      <c r="B466" s="42" t="s">
        <v>84</v>
      </c>
      <c r="C466" s="168" t="s">
        <v>98</v>
      </c>
      <c r="D466" s="169">
        <v>200</v>
      </c>
      <c r="E466" s="47">
        <v>1</v>
      </c>
      <c r="F466" s="148"/>
      <c r="G466" s="47">
        <f>E466+F466</f>
        <v>1</v>
      </c>
      <c r="H466" s="47">
        <v>1</v>
      </c>
      <c r="I466" s="47">
        <v>1</v>
      </c>
      <c r="J466" s="84"/>
      <c r="K466" s="84">
        <f t="shared" si="22"/>
        <v>0</v>
      </c>
      <c r="L466" s="84">
        <f t="shared" si="21"/>
        <v>0</v>
      </c>
      <c r="M466" s="84"/>
    </row>
    <row r="467" spans="1:13" ht="173.25">
      <c r="A467" s="66" t="s">
        <v>192</v>
      </c>
      <c r="B467" s="42" t="s">
        <v>84</v>
      </c>
      <c r="C467" s="168" t="s">
        <v>99</v>
      </c>
      <c r="D467" s="169"/>
      <c r="E467" s="47">
        <f>E468</f>
        <v>3</v>
      </c>
      <c r="F467" s="154">
        <f>F468</f>
        <v>0</v>
      </c>
      <c r="G467" s="47">
        <f>G468</f>
        <v>3</v>
      </c>
      <c r="H467" s="47">
        <f>H468</f>
        <v>3</v>
      </c>
      <c r="I467" s="47">
        <f>I468</f>
        <v>3</v>
      </c>
      <c r="J467" s="84"/>
      <c r="K467" s="84">
        <f t="shared" si="22"/>
        <v>0</v>
      </c>
      <c r="L467" s="84">
        <f aca="true" t="shared" si="26" ref="L467:L486">E467+F467-G467</f>
        <v>0</v>
      </c>
      <c r="M467" s="84"/>
    </row>
    <row r="468" spans="1:13" ht="47.25">
      <c r="A468" s="45" t="s">
        <v>453</v>
      </c>
      <c r="B468" s="42" t="s">
        <v>84</v>
      </c>
      <c r="C468" s="168" t="s">
        <v>99</v>
      </c>
      <c r="D468" s="169">
        <v>200</v>
      </c>
      <c r="E468" s="47">
        <v>3</v>
      </c>
      <c r="F468" s="148"/>
      <c r="G468" s="47">
        <f>E468+F468</f>
        <v>3</v>
      </c>
      <c r="H468" s="47">
        <v>3</v>
      </c>
      <c r="I468" s="47">
        <v>3</v>
      </c>
      <c r="J468" s="84"/>
      <c r="K468" s="84">
        <f t="shared" si="22"/>
        <v>0</v>
      </c>
      <c r="L468" s="84">
        <f t="shared" si="26"/>
        <v>0</v>
      </c>
      <c r="M468" s="84"/>
    </row>
    <row r="469" spans="1:13" ht="31.5">
      <c r="A469" s="22" t="s">
        <v>44</v>
      </c>
      <c r="B469" s="42" t="s">
        <v>84</v>
      </c>
      <c r="C469" s="168" t="s">
        <v>100</v>
      </c>
      <c r="D469" s="48"/>
      <c r="E469" s="47">
        <f>E470</f>
        <v>1323.7</v>
      </c>
      <c r="F469" s="154">
        <f>F470</f>
        <v>0</v>
      </c>
      <c r="G469" s="47">
        <f>G470</f>
        <v>1323.7</v>
      </c>
      <c r="H469" s="47">
        <f>H470</f>
        <v>1301.5</v>
      </c>
      <c r="I469" s="47">
        <f>I470</f>
        <v>1276.3</v>
      </c>
      <c r="J469" s="84"/>
      <c r="K469" s="84">
        <f t="shared" si="22"/>
        <v>0</v>
      </c>
      <c r="L469" s="84">
        <f t="shared" si="26"/>
        <v>0</v>
      </c>
      <c r="M469" s="84"/>
    </row>
    <row r="470" spans="1:13" ht="15.75">
      <c r="A470" s="46" t="s">
        <v>42</v>
      </c>
      <c r="B470" s="42" t="s">
        <v>84</v>
      </c>
      <c r="C470" s="168" t="s">
        <v>100</v>
      </c>
      <c r="D470" s="42" t="s">
        <v>43</v>
      </c>
      <c r="E470" s="47">
        <v>1323.7</v>
      </c>
      <c r="F470" s="148"/>
      <c r="G470" s="47">
        <f>E470+F470</f>
        <v>1323.7</v>
      </c>
      <c r="H470" s="47">
        <v>1301.5</v>
      </c>
      <c r="I470" s="47">
        <v>1276.3</v>
      </c>
      <c r="J470" s="84"/>
      <c r="K470" s="84">
        <f t="shared" si="22"/>
        <v>0</v>
      </c>
      <c r="L470" s="84">
        <f t="shared" si="26"/>
        <v>0</v>
      </c>
      <c r="M470" s="84"/>
    </row>
    <row r="471" spans="1:13" ht="78.75">
      <c r="A471" s="51" t="s">
        <v>250</v>
      </c>
      <c r="B471" s="42" t="s">
        <v>84</v>
      </c>
      <c r="C471" s="168" t="s">
        <v>101</v>
      </c>
      <c r="D471" s="49"/>
      <c r="E471" s="47">
        <f>E472</f>
        <v>134.2</v>
      </c>
      <c r="F471" s="154">
        <f>F472</f>
        <v>0</v>
      </c>
      <c r="G471" s="47">
        <f>G472</f>
        <v>134.2</v>
      </c>
      <c r="H471" s="47">
        <f>H472</f>
        <v>137.3</v>
      </c>
      <c r="I471" s="47">
        <f>I472</f>
        <v>141.1</v>
      </c>
      <c r="J471" s="84"/>
      <c r="K471" s="84">
        <f t="shared" si="22"/>
        <v>0</v>
      </c>
      <c r="L471" s="84">
        <f t="shared" si="26"/>
        <v>0</v>
      </c>
      <c r="M471" s="84"/>
    </row>
    <row r="472" spans="1:13" ht="15.75">
      <c r="A472" s="46" t="s">
        <v>42</v>
      </c>
      <c r="B472" s="42" t="s">
        <v>84</v>
      </c>
      <c r="C472" s="168" t="s">
        <v>101</v>
      </c>
      <c r="D472" s="42" t="s">
        <v>43</v>
      </c>
      <c r="E472" s="47">
        <v>134.2</v>
      </c>
      <c r="F472" s="148"/>
      <c r="G472" s="47">
        <f>E472+F472</f>
        <v>134.2</v>
      </c>
      <c r="H472" s="47">
        <v>137.3</v>
      </c>
      <c r="I472" s="47">
        <v>141.1</v>
      </c>
      <c r="J472" s="84"/>
      <c r="K472" s="84">
        <f t="shared" si="22"/>
        <v>0</v>
      </c>
      <c r="L472" s="84">
        <f t="shared" si="26"/>
        <v>0</v>
      </c>
      <c r="M472" s="84"/>
    </row>
    <row r="473" spans="1:13" ht="105">
      <c r="A473" s="83" t="s">
        <v>222</v>
      </c>
      <c r="B473" s="42" t="s">
        <v>84</v>
      </c>
      <c r="C473" s="168" t="s">
        <v>102</v>
      </c>
      <c r="D473" s="49"/>
      <c r="E473" s="47">
        <f>E474</f>
        <v>7</v>
      </c>
      <c r="F473" s="141">
        <f>F474</f>
        <v>0</v>
      </c>
      <c r="G473" s="47">
        <f>G474</f>
        <v>7</v>
      </c>
      <c r="H473" s="47">
        <f>H474</f>
        <v>7</v>
      </c>
      <c r="I473" s="47">
        <f>I474</f>
        <v>7</v>
      </c>
      <c r="J473" s="84"/>
      <c r="K473" s="84">
        <f t="shared" si="22"/>
        <v>0</v>
      </c>
      <c r="L473" s="84">
        <f t="shared" si="26"/>
        <v>0</v>
      </c>
      <c r="M473" s="84"/>
    </row>
    <row r="474" spans="1:13" ht="47.25">
      <c r="A474" s="45" t="s">
        <v>453</v>
      </c>
      <c r="B474" s="42" t="s">
        <v>84</v>
      </c>
      <c r="C474" s="168" t="s">
        <v>102</v>
      </c>
      <c r="D474" s="42" t="s">
        <v>8</v>
      </c>
      <c r="E474" s="47">
        <f>3.5+3.5</f>
        <v>7</v>
      </c>
      <c r="F474" s="120">
        <v>0</v>
      </c>
      <c r="G474" s="47">
        <f>E474+F474</f>
        <v>7</v>
      </c>
      <c r="H474" s="47">
        <f>3.5+3.5</f>
        <v>7</v>
      </c>
      <c r="I474" s="47">
        <f>3.5+3.5</f>
        <v>7</v>
      </c>
      <c r="J474" s="84"/>
      <c r="K474" s="84">
        <f aca="true" t="shared" si="27" ref="K474:K485">G474-E474</f>
        <v>0</v>
      </c>
      <c r="L474" s="84">
        <f t="shared" si="26"/>
        <v>0</v>
      </c>
      <c r="M474" s="84"/>
    </row>
    <row r="475" spans="1:13" ht="31.5">
      <c r="A475" s="22" t="s">
        <v>85</v>
      </c>
      <c r="B475" s="42" t="s">
        <v>84</v>
      </c>
      <c r="C475" s="42" t="s">
        <v>97</v>
      </c>
      <c r="D475" s="42" t="s">
        <v>0</v>
      </c>
      <c r="E475" s="47">
        <f>E476</f>
        <v>17520.1</v>
      </c>
      <c r="F475" s="141">
        <f>F476</f>
        <v>0</v>
      </c>
      <c r="G475" s="47">
        <f>G476</f>
        <v>17520.1</v>
      </c>
      <c r="H475" s="47">
        <f>H476</f>
        <v>13432.6</v>
      </c>
      <c r="I475" s="47">
        <f>I476</f>
        <v>13350</v>
      </c>
      <c r="J475" s="84"/>
      <c r="K475" s="84">
        <f t="shared" si="27"/>
        <v>0</v>
      </c>
      <c r="L475" s="84">
        <f t="shared" si="26"/>
        <v>0</v>
      </c>
      <c r="M475" s="84"/>
    </row>
    <row r="476" spans="1:13" ht="15.75">
      <c r="A476" s="46" t="s">
        <v>42</v>
      </c>
      <c r="B476" s="42" t="s">
        <v>84</v>
      </c>
      <c r="C476" s="42" t="s">
        <v>97</v>
      </c>
      <c r="D476" s="42" t="s">
        <v>43</v>
      </c>
      <c r="E476" s="47">
        <f>3400+14120.1</f>
        <v>17520.1</v>
      </c>
      <c r="F476" s="120"/>
      <c r="G476" s="47">
        <f>E476+F476</f>
        <v>17520.1</v>
      </c>
      <c r="H476" s="47">
        <f>3000+10432.6</f>
        <v>13432.6</v>
      </c>
      <c r="I476" s="47">
        <f>3000+10350</f>
        <v>13350</v>
      </c>
      <c r="J476" s="84"/>
      <c r="K476" s="84">
        <f t="shared" si="27"/>
        <v>0</v>
      </c>
      <c r="L476" s="84">
        <f t="shared" si="26"/>
        <v>0</v>
      </c>
      <c r="M476" s="84"/>
    </row>
    <row r="477" spans="1:13" ht="47.25">
      <c r="A477" s="46" t="s">
        <v>380</v>
      </c>
      <c r="B477" s="42" t="s">
        <v>84</v>
      </c>
      <c r="C477" s="42" t="s">
        <v>326</v>
      </c>
      <c r="D477" s="42"/>
      <c r="E477" s="47">
        <f>E478</f>
        <v>1762.6</v>
      </c>
      <c r="F477" s="141">
        <f>F478</f>
        <v>0</v>
      </c>
      <c r="G477" s="47">
        <f>G478</f>
        <v>1762.6</v>
      </c>
      <c r="H477" s="47">
        <f>H478</f>
        <v>2065.6</v>
      </c>
      <c r="I477" s="47">
        <f>I478</f>
        <v>2148.2</v>
      </c>
      <c r="J477" s="84"/>
      <c r="K477" s="84">
        <f t="shared" si="27"/>
        <v>0</v>
      </c>
      <c r="L477" s="84">
        <f t="shared" si="26"/>
        <v>0</v>
      </c>
      <c r="M477" s="84"/>
    </row>
    <row r="478" spans="1:13" ht="15.75">
      <c r="A478" s="46" t="s">
        <v>42</v>
      </c>
      <c r="B478" s="42" t="s">
        <v>84</v>
      </c>
      <c r="C478" s="42" t="s">
        <v>326</v>
      </c>
      <c r="D478" s="42" t="s">
        <v>43</v>
      </c>
      <c r="E478" s="47">
        <v>1762.6</v>
      </c>
      <c r="F478" s="129"/>
      <c r="G478" s="47">
        <f>E478+F478</f>
        <v>1762.6</v>
      </c>
      <c r="H478" s="47">
        <v>2065.6</v>
      </c>
      <c r="I478" s="47">
        <v>2148.2</v>
      </c>
      <c r="J478" s="84"/>
      <c r="K478" s="84">
        <f t="shared" si="27"/>
        <v>0</v>
      </c>
      <c r="L478" s="84">
        <f t="shared" si="26"/>
        <v>0</v>
      </c>
      <c r="M478" s="84"/>
    </row>
    <row r="479" spans="1:13" ht="55.5" customHeight="1">
      <c r="A479" s="46" t="s">
        <v>381</v>
      </c>
      <c r="B479" s="42" t="s">
        <v>84</v>
      </c>
      <c r="C479" s="42" t="s">
        <v>327</v>
      </c>
      <c r="D479" s="42"/>
      <c r="E479" s="47">
        <f>E480</f>
        <v>2501.8</v>
      </c>
      <c r="F479" s="154">
        <f>F480</f>
        <v>0</v>
      </c>
      <c r="G479" s="47">
        <f>G480</f>
        <v>2501.8</v>
      </c>
      <c r="H479" s="47">
        <f>H480</f>
        <v>2501.8</v>
      </c>
      <c r="I479" s="47">
        <f>I480</f>
        <v>2501.8</v>
      </c>
      <c r="J479" s="84"/>
      <c r="K479" s="84">
        <f t="shared" si="27"/>
        <v>0</v>
      </c>
      <c r="L479" s="84">
        <f t="shared" si="26"/>
        <v>0</v>
      </c>
      <c r="M479" s="84"/>
    </row>
    <row r="480" spans="1:13" ht="15.75">
      <c r="A480" s="46" t="s">
        <v>42</v>
      </c>
      <c r="B480" s="42" t="s">
        <v>84</v>
      </c>
      <c r="C480" s="42" t="s">
        <v>327</v>
      </c>
      <c r="D480" s="42" t="s">
        <v>43</v>
      </c>
      <c r="E480" s="47">
        <v>2501.8</v>
      </c>
      <c r="F480" s="148"/>
      <c r="G480" s="47">
        <f>E480+F480</f>
        <v>2501.8</v>
      </c>
      <c r="H480" s="47">
        <v>2501.8</v>
      </c>
      <c r="I480" s="47">
        <v>2501.8</v>
      </c>
      <c r="J480" s="84"/>
      <c r="K480" s="84">
        <f t="shared" si="27"/>
        <v>0</v>
      </c>
      <c r="L480" s="84">
        <f t="shared" si="26"/>
        <v>0</v>
      </c>
      <c r="M480" s="84"/>
    </row>
    <row r="481" spans="1:13" ht="47.25">
      <c r="A481" s="46" t="s">
        <v>425</v>
      </c>
      <c r="B481" s="42" t="s">
        <v>84</v>
      </c>
      <c r="C481" s="42" t="s">
        <v>424</v>
      </c>
      <c r="D481" s="42"/>
      <c r="E481" s="47">
        <f>E482</f>
        <v>855.2</v>
      </c>
      <c r="F481" s="47">
        <f>F482</f>
        <v>9700</v>
      </c>
      <c r="G481" s="47">
        <f>G482</f>
        <v>10555.2</v>
      </c>
      <c r="H481" s="47">
        <f>H482</f>
        <v>0</v>
      </c>
      <c r="I481" s="47">
        <f>I482</f>
        <v>0</v>
      </c>
      <c r="J481" s="84"/>
      <c r="K481" s="84">
        <f t="shared" si="27"/>
        <v>9700</v>
      </c>
      <c r="L481" s="84">
        <f t="shared" si="26"/>
        <v>0</v>
      </c>
      <c r="M481" s="84"/>
    </row>
    <row r="482" spans="1:13" ht="15.75">
      <c r="A482" s="46" t="s">
        <v>42</v>
      </c>
      <c r="B482" s="42" t="s">
        <v>84</v>
      </c>
      <c r="C482" s="42" t="s">
        <v>424</v>
      </c>
      <c r="D482" s="42" t="s">
        <v>43</v>
      </c>
      <c r="E482" s="47">
        <v>855.2</v>
      </c>
      <c r="F482" s="129">
        <f>10600-900</f>
        <v>9700</v>
      </c>
      <c r="G482" s="47">
        <f>E482+F482</f>
        <v>10555.2</v>
      </c>
      <c r="H482" s="47">
        <v>0</v>
      </c>
      <c r="I482" s="47">
        <v>0</v>
      </c>
      <c r="J482" s="84"/>
      <c r="K482" s="84">
        <f t="shared" si="27"/>
        <v>9700</v>
      </c>
      <c r="L482" s="84">
        <f t="shared" si="26"/>
        <v>0</v>
      </c>
      <c r="M482" s="84"/>
    </row>
    <row r="483" spans="1:13" ht="31.5">
      <c r="A483" s="100" t="s">
        <v>396</v>
      </c>
      <c r="B483" s="42">
        <v>992</v>
      </c>
      <c r="C483" s="56" t="s">
        <v>395</v>
      </c>
      <c r="D483" s="56"/>
      <c r="E483" s="43">
        <f>E484</f>
        <v>20000</v>
      </c>
      <c r="F483" s="141">
        <f>F484</f>
        <v>0</v>
      </c>
      <c r="G483" s="43">
        <f>G484</f>
        <v>20000</v>
      </c>
      <c r="H483" s="43">
        <f>H484</f>
        <v>0</v>
      </c>
      <c r="I483" s="43">
        <f>I484</f>
        <v>0</v>
      </c>
      <c r="J483" s="84"/>
      <c r="K483" s="84">
        <f t="shared" si="27"/>
        <v>0</v>
      </c>
      <c r="L483" s="84">
        <f t="shared" si="26"/>
        <v>0</v>
      </c>
      <c r="M483" s="84"/>
    </row>
    <row r="484" spans="1:13" ht="15.75">
      <c r="A484" s="133" t="s">
        <v>9</v>
      </c>
      <c r="B484" s="42">
        <v>992</v>
      </c>
      <c r="C484" s="56" t="s">
        <v>395</v>
      </c>
      <c r="D484" s="56">
        <v>800</v>
      </c>
      <c r="E484" s="43">
        <v>20000</v>
      </c>
      <c r="F484" s="120"/>
      <c r="G484" s="43">
        <f>E484+F484</f>
        <v>20000</v>
      </c>
      <c r="H484" s="43">
        <v>0</v>
      </c>
      <c r="I484" s="43">
        <v>0</v>
      </c>
      <c r="J484" s="84"/>
      <c r="K484" s="84">
        <f t="shared" si="27"/>
        <v>0</v>
      </c>
      <c r="L484" s="84">
        <f t="shared" si="26"/>
        <v>0</v>
      </c>
      <c r="M484" s="84"/>
    </row>
    <row r="485" spans="1:13" ht="15.75">
      <c r="A485" s="106" t="s">
        <v>241</v>
      </c>
      <c r="B485" s="42" t="s">
        <v>84</v>
      </c>
      <c r="C485" s="15" t="s">
        <v>242</v>
      </c>
      <c r="D485" s="107"/>
      <c r="E485" s="47">
        <v>0</v>
      </c>
      <c r="F485" s="47">
        <v>0</v>
      </c>
      <c r="G485" s="47">
        <v>0</v>
      </c>
      <c r="H485" s="47">
        <f>17443+14</f>
        <v>17457</v>
      </c>
      <c r="I485" s="47">
        <f>35728+49</f>
        <v>35777</v>
      </c>
      <c r="J485" s="84"/>
      <c r="K485" s="84">
        <f t="shared" si="27"/>
        <v>0</v>
      </c>
      <c r="L485" s="84">
        <f t="shared" si="26"/>
        <v>0</v>
      </c>
      <c r="M485" s="84"/>
    </row>
    <row r="486" spans="1:12" ht="12.75">
      <c r="A486" s="173"/>
      <c r="B486" s="173"/>
      <c r="C486" s="173"/>
      <c r="D486" s="173"/>
      <c r="E486" s="173"/>
      <c r="F486" s="173"/>
      <c r="G486" s="173"/>
      <c r="H486" s="173"/>
      <c r="I486" s="173"/>
      <c r="J486" s="84"/>
      <c r="L486" s="84">
        <f t="shared" si="26"/>
        <v>0</v>
      </c>
    </row>
    <row r="487" spans="5:9" ht="12.75">
      <c r="E487" s="84"/>
      <c r="G487" s="84"/>
      <c r="H487" s="84"/>
      <c r="I487" s="84"/>
    </row>
    <row r="490" spans="4:9" ht="12.75">
      <c r="D490" s="19"/>
      <c r="E490" s="84"/>
      <c r="F490" s="19"/>
      <c r="G490" s="84"/>
      <c r="H490" s="84"/>
      <c r="I490" s="84"/>
    </row>
    <row r="491" spans="4:9" ht="20.25" customHeight="1">
      <c r="D491" s="19"/>
      <c r="E491" s="84">
        <f>E105+E256+E274+E298+E470+E472+E476+E478+E480+E482</f>
        <v>42508.799999999996</v>
      </c>
      <c r="F491" s="84">
        <f>F105+F256+F274+F298+F470+F472+F476+F478+F480+F482</f>
        <v>9700</v>
      </c>
      <c r="G491" s="84">
        <f>G105+G256+G274+G298+G470+G472+G476+G478+G480+G482</f>
        <v>52208.8</v>
      </c>
      <c r="H491" s="84"/>
      <c r="I491" s="84"/>
    </row>
    <row r="492" spans="4:9" ht="20.25" customHeight="1">
      <c r="D492" s="19"/>
      <c r="E492" s="84"/>
      <c r="F492" s="19"/>
      <c r="G492" s="84"/>
      <c r="H492" s="84"/>
      <c r="I492" s="84"/>
    </row>
    <row r="493" spans="5:9" ht="19.5" customHeight="1">
      <c r="E493" s="84"/>
      <c r="G493" s="84"/>
      <c r="H493" s="84"/>
      <c r="I493" s="84"/>
    </row>
    <row r="495" spans="5:9" ht="12.75">
      <c r="E495" s="84"/>
      <c r="G495" s="84"/>
      <c r="H495" s="84"/>
      <c r="I495" s="84"/>
    </row>
    <row r="497" spans="5:9" ht="12.75">
      <c r="E497" s="84"/>
      <c r="G497" s="84"/>
      <c r="H497" s="84"/>
      <c r="I497" s="84"/>
    </row>
    <row r="499" spans="5:9" ht="12.75">
      <c r="E499" s="84"/>
      <c r="G499" s="84"/>
      <c r="H499" s="84"/>
      <c r="I499" s="84"/>
    </row>
  </sheetData>
  <sheetProtection/>
  <autoFilter ref="A14:N487"/>
  <mergeCells count="15">
    <mergeCell ref="A13:A14"/>
    <mergeCell ref="A11:I11"/>
    <mergeCell ref="B13:B14"/>
    <mergeCell ref="C13:C14"/>
    <mergeCell ref="D13:D14"/>
    <mergeCell ref="E13:E14"/>
    <mergeCell ref="F13:F14"/>
    <mergeCell ref="G13:I13"/>
    <mergeCell ref="H2:I2"/>
    <mergeCell ref="B8:I8"/>
    <mergeCell ref="B9:I9"/>
    <mergeCell ref="B6:I6"/>
    <mergeCell ref="B7:I7"/>
    <mergeCell ref="G4:I4"/>
    <mergeCell ref="B3:I3"/>
  </mergeCells>
  <printOptions/>
  <pageMargins left="0.5905511811023623" right="0" top="0.15748031496062992" bottom="0.15748031496062992" header="0" footer="0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Руслан Валентинович</dc:creator>
  <cp:keywords/>
  <dc:description>POI HSSF rep:2.31.10.166</dc:description>
  <cp:lastModifiedBy>Администратор</cp:lastModifiedBy>
  <cp:lastPrinted>2020-07-17T10:27:22Z</cp:lastPrinted>
  <dcterms:created xsi:type="dcterms:W3CDTF">2013-10-14T07:03:00Z</dcterms:created>
  <dcterms:modified xsi:type="dcterms:W3CDTF">2020-07-17T11:01:07Z</dcterms:modified>
  <cp:category/>
  <cp:version/>
  <cp:contentType/>
  <cp:contentStatus/>
</cp:coreProperties>
</file>