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65" windowWidth="14940" windowHeight="7710" firstSheet="1" activeTab="2"/>
  </bookViews>
  <sheets>
    <sheet name="2016 год Приложение 3" sheetId="1" r:id="rId1"/>
    <sheet name="2017-2018 годы  Приложение 4" sheetId="2" r:id="rId2"/>
    <sheet name="2016 год Приложение  5" sheetId="3" r:id="rId3"/>
    <sheet name="2017-2018 годы ПРиложение 6" sheetId="4" r:id="rId4"/>
  </sheets>
  <externalReferences>
    <externalReference r:id="rId7"/>
  </externalReferences>
  <definedNames>
    <definedName name="_xlnm._FilterDatabase" localSheetId="1" hidden="1">'2017-2018 годы  Приложение 4'!$A$11:$E$272</definedName>
    <definedName name="_xlnm._FilterDatabase" localSheetId="3" hidden="1">'2017-2018 годы ПРиложение 6'!$A$11:$F$288</definedName>
    <definedName name="Z_02C73A4A_862B_4487_A544_9A6462DC3FAC_.wvu.FilterData" localSheetId="2" hidden="1">'2016 год Приложение  5'!$A$11:$G$451</definedName>
    <definedName name="Z_0546044F_6A1F_458A_A3CC_A7032F47A6F3_.wvu.FilterData" localSheetId="2" hidden="1">'2016 год Приложение  5'!$A$11:$M$451</definedName>
    <definedName name="Z_06BDD2E3_36D2_4248_8AC0_DE67769A10AA_.wvu.FilterData" localSheetId="2" hidden="1">'2016 год Приложение  5'!$A$11:$G$451</definedName>
    <definedName name="Z_0716348E_E5A1_49BF_9EA9_22865FC05A43_.wvu.FilterData" localSheetId="2" hidden="1">'2016 год Приложение  5'!$A$11:$E$451</definedName>
    <definedName name="Z_0CFE7E40_53CB_4F78_8BC0_30B076713ABD_.wvu.FilterData" localSheetId="0" hidden="1">'2016 год Приложение 3'!$A$11:$L$425</definedName>
    <definedName name="Z_1C2CBEA6_B1D6_4CFC_89E4_B92BD2AE5C55_.wvu.FilterData" localSheetId="2" hidden="1">'2016 год Приложение  5'!$A$11:$G$11</definedName>
    <definedName name="Z_20A13DD1_7173_4432_8F1D_5127F78A7FC1_.wvu.FilterData" localSheetId="0" hidden="1">'2016 год Приложение 3'!$A$11:$L$425</definedName>
    <definedName name="Z_255C6B67_D096_41E9_BC2F_9E2EF7DC0ADD_.wvu.FilterData" localSheetId="2" hidden="1">'2016 год Приложение  5'!$A$11:$E$451</definedName>
    <definedName name="Z_29F890E0_C9E7_42D5_82BF_281E463A6F97_.wvu.FilterData" localSheetId="0" hidden="1">'2016 год Приложение 3'!$A$12:$L$340</definedName>
    <definedName name="Z_2D8CCF38_31CA_4F52_AE4E_C59949861AC1_.wvu.FilterData" localSheetId="2" hidden="1">'2016 год Приложение  5'!$A$11:$G$451</definedName>
    <definedName name="Z_2D8CCF38_31CA_4F52_AE4E_C59949861AC1_.wvu.FilterData" localSheetId="0" hidden="1">'2016 год Приложение 3'!$A$11:$L$425</definedName>
    <definedName name="Z_2F4E7589_BB9E_4EE8_9FB7_7E262394E878_.wvu.FilterData" localSheetId="2" hidden="1">'2016 год Приложение  5'!$A$10:$N$451</definedName>
    <definedName name="Z_2F4E7589_BB9E_4EE8_9FB7_7E262394E878_.wvu.FilterData" localSheetId="0" hidden="1">'2016 год Приложение 3'!$A$10:$M$425</definedName>
    <definedName name="Z_2F4E7589_BB9E_4EE8_9FB7_7E262394E878_.wvu.PrintArea" localSheetId="2" hidden="1">'2016 год Приложение  5'!$A$1:$G$451</definedName>
    <definedName name="Z_2F4E7589_BB9E_4EE8_9FB7_7E262394E878_.wvu.PrintArea" localSheetId="0" hidden="1">'2016 год Приложение 3'!$A$1:$F$425</definedName>
    <definedName name="Z_3011A347_4FEE_45EE_A3D2_6E9495927AC2_.wvu.FilterData" localSheetId="0" hidden="1">'2016 год Приложение 3'!$A$11:$L$425</definedName>
    <definedName name="Z_31304256_DFD3_482B_B984_BC9517A67CAB_.wvu.FilterData" localSheetId="0" hidden="1">'2016 год Приложение 3'!$A$12:$L$340</definedName>
    <definedName name="Z_326281D8_1458_43AD_995C_40833A4FF9F7_.wvu.FilterData" localSheetId="2" hidden="1">'2016 год Приложение  5'!$A$11:$M$451</definedName>
    <definedName name="Z_372AE423_B16C_4226_B887_6F875638DB23_.wvu.FilterData" localSheetId="2" hidden="1">'2016 год Приложение  5'!$A$11:$E$451</definedName>
    <definedName name="Z_372AE423_B16C_4226_B887_6F875638DB23_.wvu.FilterData" localSheetId="0" hidden="1">'2016 год Приложение 3'!$A$11:$L$425</definedName>
    <definedName name="Z_38FBDF9C_6019_4E97_B283_A0A6517C9E8A_.wvu.FilterData" localSheetId="2" hidden="1">'2016 год Приложение  5'!$A$11:$G$451</definedName>
    <definedName name="Z_3DD74414_5CAB_495E_9125_A70EBFC442AF_.wvu.FilterData" localSheetId="2" hidden="1">'2016 год Приложение  5'!$A$12:$M$451</definedName>
    <definedName name="Z_3E6C3B2B_9BE5_4A89_A297_56EDE963DDC1_.wvu.FilterData" localSheetId="2" hidden="1">'2016 год Приложение  5'!$A$11:$M$451</definedName>
    <definedName name="Z_3EE58714_D195_4F7E_BBAF_D5A1FF6D6D5D_.wvu.FilterData" localSheetId="0" hidden="1">'2016 год Приложение 3'!$A$11:$L$425</definedName>
    <definedName name="Z_3F313A6C_4796_49DF_9C11_D110C8E222E8_.wvu.FilterData" localSheetId="2" hidden="1">'2016 год Приложение  5'!$A$11:$G$11</definedName>
    <definedName name="Z_43823885_114F_435D_A47D_D3CA76F33AAB_.wvu.FilterData" localSheetId="0" hidden="1">'2016 год Приложение 3'!$A$12:$D$301</definedName>
    <definedName name="Z_467F0D3D_0B71_4362_9E4C_6C954DC8A15D_.wvu.FilterData" localSheetId="2" hidden="1">'2016 год Приложение  5'!$A$12:$M$451</definedName>
    <definedName name="Z_48336C08_94FE_4074_AC8A_EA8B237AD038_.wvu.FilterData" localSheetId="2" hidden="1">'2016 год Приложение  5'!$A$11:$E$451</definedName>
    <definedName name="Z_48336C08_94FE_4074_AC8A_EA8B237AD038_.wvu.FilterData" localSheetId="0" hidden="1">'2016 год Приложение 3'!$A$11:$L$425</definedName>
    <definedName name="Z_4B4FD35A_9469_4FE1_882E_85989A878F33_.wvu.FilterData" localSheetId="2" hidden="1">'2016 год Приложение  5'!$A$11:$G$11</definedName>
    <definedName name="Z_4E1C3345_197A_4EB5_ACB4_F9888915535C_.wvu.FilterData" localSheetId="0" hidden="1">'2016 год Приложение 3'!$A$11:$L$425</definedName>
    <definedName name="Z_51B46B97_55CA_4B76_BFE3_11ABFF98CFC6_.wvu.FilterData" localSheetId="2" hidden="1">'2016 год Приложение  5'!$A$11:$E$447</definedName>
    <definedName name="Z_539E4347_8C7F_44D4_9505_98849C03138E_.wvu.FilterData" localSheetId="0" hidden="1">'2016 год Приложение 3'!$A$10:$L$340</definedName>
    <definedName name="Z_55ADA995_3354_4F19_B2FA_4CB4ECB5834D_.wvu.FilterData" localSheetId="0" hidden="1">'2016 год Приложение 3'!$A$12:$D$301</definedName>
    <definedName name="Z_5752EBC4_0B49_4536_8B00_E9C01ED1A121_.wvu.FilterData" localSheetId="2" hidden="1">'2016 год Приложение  5'!$A$11:$L$451</definedName>
    <definedName name="Z_5752EBC4_0B49_4536_8B00_E9C01ED1A121_.wvu.FilterData" localSheetId="0" hidden="1">'2016 год Приложение 3'!$A$11:$L$425</definedName>
    <definedName name="Z_59C2AACE_D634_4A8E_AB6E_28C6423B75B3_.wvu.FilterData" localSheetId="0" hidden="1">'2016 год Приложение 3'!$A$10:$L$340</definedName>
    <definedName name="Z_61806E68_5051_48E6_8D45_0FCD3D1558B3_.wvu.FilterData" localSheetId="2" hidden="1">'2016 год Приложение  5'!$A$11:$G$451</definedName>
    <definedName name="Z_61806E68_5051_48E6_8D45_0FCD3D1558B3_.wvu.FilterData" localSheetId="0" hidden="1">'2016 год Приложение 3'!$A$10:$M$425</definedName>
    <definedName name="Z_61806E68_5051_48E6_8D45_0FCD3D1558B3_.wvu.FilterData" localSheetId="1" hidden="1">'2017-2018 годы  Приложение 4'!$A$11:$E$272</definedName>
    <definedName name="Z_61806E68_5051_48E6_8D45_0FCD3D1558B3_.wvu.FilterData" localSheetId="3" hidden="1">'2017-2018 годы ПРиложение 6'!$A$11:$F$288</definedName>
    <definedName name="Z_61806E68_5051_48E6_8D45_0FCD3D1558B3_.wvu.PrintArea" localSheetId="2" hidden="1">'2016 год Приложение  5'!$A$1:$G$451</definedName>
    <definedName name="Z_61806E68_5051_48E6_8D45_0FCD3D1558B3_.wvu.PrintArea" localSheetId="0" hidden="1">'2016 год Приложение 3'!$A$1:$F$425</definedName>
    <definedName name="Z_61806E68_5051_48E6_8D45_0FCD3D1558B3_.wvu.PrintArea" localSheetId="1" hidden="1">'2017-2018 годы  Приложение 4'!$A$1:$E$272</definedName>
    <definedName name="Z_61806E68_5051_48E6_8D45_0FCD3D1558B3_.wvu.PrintArea" localSheetId="3" hidden="1">'2017-2018 годы ПРиложение 6'!$A$1:$F$288</definedName>
    <definedName name="Z_61806E68_5051_48E6_8D45_0FCD3D1558B3_.wvu.PrintTitles" localSheetId="1" hidden="1">'2017-2018 годы  Приложение 4'!$9:$11</definedName>
    <definedName name="Z_61806E68_5051_48E6_8D45_0FCD3D1558B3_.wvu.PrintTitles" localSheetId="3" hidden="1">'2017-2018 годы ПРиложение 6'!$9:$11</definedName>
    <definedName name="Z_65075A4D_E3FA_49BB_8009_D0572786FC9F_.wvu.FilterData" localSheetId="2" hidden="1">'2016 год Приложение  5'!$A$11:$E$451</definedName>
    <definedName name="Z_65075A4D_E3FA_49BB_8009_D0572786FC9F_.wvu.FilterData" localSheetId="0" hidden="1">'2016 год Приложение 3'!$A$11:$L$425</definedName>
    <definedName name="Z_6D077CB9_8D59_462F_924F_03374197C26E_.wvu.FilterData" localSheetId="2" hidden="1">'2016 год Приложение  5'!$A$11:$E$451</definedName>
    <definedName name="Z_6DFC8E4B_4846_4ACB_803A_C01DDFF5FD08_.wvu.FilterData" localSheetId="2" hidden="1">'2016 год Приложение  5'!$A$12:$M$451</definedName>
    <definedName name="Z_70A97D09_6105_4B02_B7B6_DBBACE81FC1A_.wvu.FilterData" localSheetId="2" hidden="1">'2016 год Приложение  5'!$A$11:$E$451</definedName>
    <definedName name="Z_70A97D09_6105_4B02_B7B6_DBBACE81FC1A_.wvu.FilterData" localSheetId="0" hidden="1">'2016 год Приложение 3'!$A$11:$L$425</definedName>
    <definedName name="Z_71E905DE_E4C2_41D6_AE4D_523FA0B80977_.wvu.FilterData" localSheetId="0" hidden="1">'2016 год Приложение 3'!$A$12:$D$301</definedName>
    <definedName name="Z_74BD2A2C_6F0E_42B5_9C4E_8486F1EB4CD8_.wvu.FilterData" localSheetId="2" hidden="1">'2016 год Приложение  5'!$A$11:$M$451</definedName>
    <definedName name="Z_777E1047_05A4_453A_BA66_615495BC0516_.wvu.FilterData" localSheetId="2" hidden="1">'2016 год Приложение  5'!$A$12:$M$451</definedName>
    <definedName name="Z_777E1047_05A4_453A_BA66_615495BC0516_.wvu.FilterData" localSheetId="0" hidden="1">'2016 год Приложение 3'!$A$11:$L$425</definedName>
    <definedName name="Z_7813E585_2814_4167_ABED_699744C04C2C_.wvu.FilterData" localSheetId="2" hidden="1">'2016 год Приложение  5'!$A$11:$G$11</definedName>
    <definedName name="Z_7D3926A4_57E5_40FD_95A9_3F0FFE087D34_.wvu.FilterData" localSheetId="2" hidden="1">'2016 год Приложение  5'!$A$11:$E$451</definedName>
    <definedName name="Z_8099F9D8_3DEF_4716_96B1_2D7622FBA908_.wvu.FilterData" localSheetId="0" hidden="1">'2016 год Приложение 3'!$A$11:$L$425</definedName>
    <definedName name="Z_837E8435_5231_4174_9992_367E9D60BDD9_.wvu.FilterData" localSheetId="2" hidden="1">'2016 год Приложение  5'!$A$11:$M$451</definedName>
    <definedName name="Z_837E8435_5231_4174_9992_367E9D60BDD9_.wvu.FilterData" localSheetId="0" hidden="1">'2016 год Приложение 3'!$A$11:$L$425</definedName>
    <definedName name="Z_846BC90F_537E_49E8_A607_A0E4864A881D_.wvu.FilterData" localSheetId="2" hidden="1">'2016 год Приложение  5'!$A$11:$E$451</definedName>
    <definedName name="Z_8BE72818_508A_46CA_8861_D99E89222009_.wvu.FilterData" localSheetId="2" hidden="1">'2016 год Приложение  5'!$A$11:$M$451</definedName>
    <definedName name="Z_90E5380E_CDF8_4D38_9E20_1FA14AE59581_.wvu.FilterData" localSheetId="2" hidden="1">'2016 год Приложение  5'!$A$12:$M$451</definedName>
    <definedName name="Z_90E5380E_CDF8_4D38_9E20_1FA14AE59581_.wvu.FilterData" localSheetId="0" hidden="1">'2016 год Приложение 3'!$A$11:$L$425</definedName>
    <definedName name="Z_932BE219_92AE_4608_98DE_77B21EEC5E98_.wvu.FilterData" localSheetId="2" hidden="1">'2016 год Приложение  5'!$A$11:$M$451</definedName>
    <definedName name="Z_9550964E_D481_4054_9F8C_4344C60CDD4A_.wvu.FilterData" localSheetId="0" hidden="1">'2016 год Приложение 3'!$A$10:$L$340</definedName>
    <definedName name="Z_9B8BCBB1_0EDA_4E90_BBC4_165B2DE61ED6_.wvu.FilterData" localSheetId="0" hidden="1">'2016 год Приложение 3'!$A$12:$L$340</definedName>
    <definedName name="Z_9F1D7F01_07CC_4860_B0F3_FACC91FB0B8B_.wvu.FilterData" localSheetId="0" hidden="1">'2016 год Приложение 3'!$A$12:$D$301</definedName>
    <definedName name="Z_9F5EA2D9_102A_4754_9E0C_608CDF1AAFA5_.wvu.FilterData" localSheetId="2" hidden="1">'2016 год Приложение  5'!$A$11:$G$451</definedName>
    <definedName name="Z_A19698F4_0C5B_4B92_B970_672ECC4A1352_.wvu.FilterData" localSheetId="2" hidden="1">'2016 год Приложение  5'!$A$11:$E$451</definedName>
    <definedName name="Z_A19698F4_0C5B_4B92_B970_672ECC4A1352_.wvu.FilterData" localSheetId="0" hidden="1">'2016 год Приложение 3'!$A$11:$L$425</definedName>
    <definedName name="Z_A6EDA6AB_892A_41FC_80E6_005AF0ECC3B0_.wvu.FilterData" localSheetId="2" hidden="1">'2016 год Приложение  5'!$A$12:$M$451</definedName>
    <definedName name="Z_A6EDA6AB_892A_41FC_80E6_005AF0ECC3B0_.wvu.FilterData" localSheetId="0" hidden="1">'2016 год Приложение 3'!$A$11:$L$425</definedName>
    <definedName name="Z_A7289A43_FAB0_4BBF_BE44_1FE7F38D66E2_.wvu.FilterData" localSheetId="0" hidden="1">'2016 год Приложение 3'!$A$12:$D$301</definedName>
    <definedName name="Z_A7AB68EB_0C36_44AC_AFA4_D4EEDD6F2587_.wvu.FilterData" localSheetId="2" hidden="1">'2016 год Приложение  5'!$A$11:$E$451</definedName>
    <definedName name="Z_A7C66435_0FAD_46AD_AB6E_91B1DFE93ED1_.wvu.FilterData" localSheetId="2" hidden="1">'2016 год Приложение  5'!$A$11:$G$451</definedName>
    <definedName name="Z_A926D13F_0B0D_4E83_9405_D363E37D0348_.wvu.FilterData" localSheetId="0" hidden="1">'2016 год Приложение 3'!$A$12:$D$301</definedName>
    <definedName name="Z_A9E291C5_5EEB_4FD7_BCBD_6208C6D7B0F8_.wvu.FilterData" localSheetId="2" hidden="1">'2016 год Приложение  5'!$A$11:$E$451</definedName>
    <definedName name="Z_A9E291C5_5EEB_4FD7_BCBD_6208C6D7B0F8_.wvu.FilterData" localSheetId="0" hidden="1">'2016 год Приложение 3'!$A$11:$L$425</definedName>
    <definedName name="Z_AAC793E5_144D_410A_8279_F7946D2AF41A_.wvu.FilterData" localSheetId="0" hidden="1">'2016 год Приложение 3'!$A$12:$D$301</definedName>
    <definedName name="Z_B20EBC0A_7416_4397_9DAE_85F5C439BFD2_.wvu.FilterData" localSheetId="2" hidden="1">'2016 год Приложение  5'!$A$11:$M$451</definedName>
    <definedName name="Z_B3DFF7C3_AC80_4780_A4CC_75E7F97AD730_.wvu.FilterData" localSheetId="2" hidden="1">'2016 год Приложение  5'!$A$11:$M$451</definedName>
    <definedName name="Z_B55F0053_78CA_4F7F_BE68_6C331A853EC7_.wvu.FilterData" localSheetId="2" hidden="1">'2016 год Приложение  5'!$A$12:$M$451</definedName>
    <definedName name="Z_B79814D9_4A76_444F_9DA0_87988C6053D6_.wvu.FilterData" localSheetId="0" hidden="1">'2016 год Приложение 3'!$A$11:$L$425</definedName>
    <definedName name="Z_B7E8C950_FC48_4F46_94EB_50E3D7BDDB48_.wvu.FilterData" localSheetId="2" hidden="1">'2016 год Приложение  5'!$A$11:$E$451</definedName>
    <definedName name="Z_BBFF5A56_64CF_4223_9245_057727E8F581_.wvu.FilterData" localSheetId="2" hidden="1">'2016 год Приложение  5'!$A$11:$E$451</definedName>
    <definedName name="Z_BBFF5A56_64CF_4223_9245_057727E8F581_.wvu.FilterData" localSheetId="0" hidden="1">'2016 год Приложение 3'!$A$11:$L$425</definedName>
    <definedName name="Z_BCB9EA5D_CB3A_40AA_BF75_F228AA2D84CC_.wvu.FilterData" localSheetId="2" hidden="1">'2016 год Приложение  5'!$A$11:$E$451</definedName>
    <definedName name="Z_BCB9EA5D_CB3A_40AA_BF75_F228AA2D84CC_.wvu.FilterData" localSheetId="0" hidden="1">'2016 год Приложение 3'!$A$11:$L$425</definedName>
    <definedName name="Z_C0C47C63_1E7E_4B25_A29F_CD7550CA823B_.wvu.FilterData" localSheetId="0" hidden="1">'2016 год Приложение 3'!$A$10:$L$340</definedName>
    <definedName name="Z_C0D29360_FD13_4973_8E33_952A22BF16EB_.wvu.FilterData" localSheetId="2" hidden="1">'2016 год Приложение  5'!$A$11:$G$11</definedName>
    <definedName name="Z_C1DDAE5D_89BA_4C96_A938_93F9E8D51819_.wvu.FilterData" localSheetId="2" hidden="1">'2016 год Приложение  5'!$A$11:$G$11</definedName>
    <definedName name="Z_C407E330_1B3A_4158_9E62_5ED9582C72C0_.wvu.FilterData" localSheetId="2" hidden="1">'2016 год Приложение  5'!$A$12:$M$451</definedName>
    <definedName name="Z_C594D5C5_096D_4C18_BDCB_87F0485F5449_.wvu.FilterData" localSheetId="2" hidden="1">'2016 год Приложение  5'!$A$12:$M$451</definedName>
    <definedName name="Z_C594D5C5_096D_4C18_BDCB_87F0485F5449_.wvu.FilterData" localSheetId="0" hidden="1">'2016 год Приложение 3'!$A$11:$L$425</definedName>
    <definedName name="Z_C63DF42A_916D_43B0_A9E5_99FBCC943E02_.wvu.FilterData" localSheetId="0" hidden="1">'2016 год Приложение 3'!$A$12:$L$340</definedName>
    <definedName name="Z_CA9EB649_7C41_4C30_BD54_5FEC80AFB529_.wvu.FilterData" localSheetId="1" hidden="1">'2017-2018 годы  Приложение 4'!$A$11:$E$272</definedName>
    <definedName name="Z_CA9EB649_7C41_4C30_BD54_5FEC80AFB529_.wvu.FilterData" localSheetId="3" hidden="1">'2017-2018 годы ПРиложение 6'!$A$11:$F$288</definedName>
    <definedName name="Z_CD629787_DE9E_41E9_98D2_872390B88852_.wvu.FilterData" localSheetId="2" hidden="1">'2016 год Приложение  5'!$A$11:$G$451</definedName>
    <definedName name="Z_CF6462A7_E15E_4931_B139_A2E460067F19_.wvu.FilterData" localSheetId="2" hidden="1">'2016 год Приложение  5'!$A$11:$G$451</definedName>
    <definedName name="Z_D1B917BC_3220_432E_A965_9E7239D6A385_.wvu.FilterData" localSheetId="0" hidden="1">'2016 год Приложение 3'!$A$11:$L$340</definedName>
    <definedName name="Z_D5FAF748_0D0C_4359_BAF7_A8AC21E2030F_.wvu.FilterData" localSheetId="0" hidden="1">'2016 год Приложение 3'!$A$11:$L$425</definedName>
    <definedName name="Z_D68A6719_8BCF_4416_9750_14F41EC9AB56_.wvu.FilterData" localSheetId="2" hidden="1">'2016 год Приложение  5'!$A$11:$G$451</definedName>
    <definedName name="Z_D7E4DDFC_A6C5_4CE2_9CED_600F24542E05_.wvu.FilterData" localSheetId="2" hidden="1">'2016 год Приложение  5'!$A$11:$M$451</definedName>
    <definedName name="Z_D7E4DDFC_A6C5_4CE2_9CED_600F24542E05_.wvu.FilterData" localSheetId="0" hidden="1">'2016 год Приложение 3'!$A$11:$L$425</definedName>
    <definedName name="Z_D8EF191A_A642_4CE8_9041_51017A6E6AD5_.wvu.FilterData" localSheetId="1" hidden="1">'2017-2018 годы  Приложение 4'!$A$11:$E$272</definedName>
    <definedName name="Z_DA10F9D2_08DA_4FB8_967C_06A319AB7BED_.wvu.FilterData" localSheetId="2" hidden="1">'2016 год Приложение  5'!$A$11:$E$451</definedName>
    <definedName name="Z_DDD8C4AB_CB3C_48E6_9763_42557181A0AF_.wvu.FilterData" localSheetId="2" hidden="1">'2016 год Приложение  5'!$A$11:$G$451</definedName>
    <definedName name="Z_DDD8C4AB_CB3C_48E6_9763_42557181A0AF_.wvu.FilterData" localSheetId="0" hidden="1">'2016 год Приложение 3'!$A$10:$M$425</definedName>
    <definedName name="Z_DDD8C4AB_CB3C_48E6_9763_42557181A0AF_.wvu.FilterData" localSheetId="1" hidden="1">'2017-2018 годы  Приложение 4'!$A$11:$E$272</definedName>
    <definedName name="Z_DDD8C4AB_CB3C_48E6_9763_42557181A0AF_.wvu.FilterData" localSheetId="3" hidden="1">'2017-2018 годы ПРиложение 6'!$A$11:$F$288</definedName>
    <definedName name="Z_DDD8C4AB_CB3C_48E6_9763_42557181A0AF_.wvu.PrintArea" localSheetId="1" hidden="1">'2017-2018 годы  Приложение 4'!$A$1:$E$272</definedName>
    <definedName name="Z_DDD8C4AB_CB3C_48E6_9763_42557181A0AF_.wvu.PrintArea" localSheetId="3" hidden="1">'2017-2018 годы ПРиложение 6'!$A$1:$F$288</definedName>
    <definedName name="Z_DDD8C4AB_CB3C_48E6_9763_42557181A0AF_.wvu.PrintTitles" localSheetId="1" hidden="1">'2017-2018 годы  Приложение 4'!$9:$11</definedName>
    <definedName name="Z_DDD8C4AB_CB3C_48E6_9763_42557181A0AF_.wvu.PrintTitles" localSheetId="3" hidden="1">'2017-2018 годы ПРиложение 6'!$9:$11</definedName>
    <definedName name="Z_EA7E325E_E9C4_43C2_8F94_8A4CD3295385_.wvu.FilterData" localSheetId="2" hidden="1">'2016 год Приложение  5'!$A$11:$G$451</definedName>
    <definedName name="Z_EA7E325E_E9C4_43C2_8F94_8A4CD3295385_.wvu.FilterData" localSheetId="0" hidden="1">'2016 год Приложение 3'!$A$10:$M$425</definedName>
    <definedName name="Z_EA7E325E_E9C4_43C2_8F94_8A4CD3295385_.wvu.FilterData" localSheetId="1" hidden="1">'2017-2018 годы  Приложение 4'!$A$11:$E$272</definedName>
    <definedName name="Z_EA7E325E_E9C4_43C2_8F94_8A4CD3295385_.wvu.FilterData" localSheetId="3" hidden="1">'2017-2018 годы ПРиложение 6'!$A$11:$F$288</definedName>
    <definedName name="Z_EA7E325E_E9C4_43C2_8F94_8A4CD3295385_.wvu.PrintArea" localSheetId="2" hidden="1">'2016 год Приложение  5'!$A$1:$G$451</definedName>
    <definedName name="Z_EA7E325E_E9C4_43C2_8F94_8A4CD3295385_.wvu.PrintArea" localSheetId="0" hidden="1">'2016 год Приложение 3'!$A$1:$F$425</definedName>
    <definedName name="Z_EA7E325E_E9C4_43C2_8F94_8A4CD3295385_.wvu.PrintArea" localSheetId="1" hidden="1">'2017-2018 годы  Приложение 4'!$A$1:$E$272</definedName>
    <definedName name="Z_EA7E325E_E9C4_43C2_8F94_8A4CD3295385_.wvu.PrintArea" localSheetId="3" hidden="1">'2017-2018 годы ПРиложение 6'!$A$1:$F$288</definedName>
    <definedName name="Z_EA7E325E_E9C4_43C2_8F94_8A4CD3295385_.wvu.PrintTitles" localSheetId="2" hidden="1">'2016 год Приложение  5'!$9:$11</definedName>
    <definedName name="Z_EA7E325E_E9C4_43C2_8F94_8A4CD3295385_.wvu.PrintTitles" localSheetId="1" hidden="1">'2017-2018 годы  Приложение 4'!$9:$11</definedName>
    <definedName name="Z_EA7E325E_E9C4_43C2_8F94_8A4CD3295385_.wvu.PrintTitles" localSheetId="3" hidden="1">'2017-2018 годы ПРиложение 6'!$9:$11</definedName>
    <definedName name="Z_EB1F9754_81A4_4300_9136_C4584DE5BB80_.wvu.FilterData" localSheetId="2" hidden="1">'2016 год Приложение  5'!$A$12:$M$451</definedName>
    <definedName name="Z_EB1F9754_81A4_4300_9136_C4584DE5BB80_.wvu.FilterData" localSheetId="0" hidden="1">'2016 год Приложение 3'!$A$11:$L$425</definedName>
    <definedName name="Z_F08F1980_5334_4BC0_8785_534FCC6EAC9B_.wvu.FilterData" localSheetId="2" hidden="1">'2016 год Приложение  5'!$A$11:$G$451</definedName>
    <definedName name="Z_F0AEB904_EDFD_4DA8_8E45_5B132DA87D24_.wvu.FilterData" localSheetId="2" hidden="1">'2016 год Приложение  5'!$A$11:$E$451</definedName>
    <definedName name="Z_F1E5C7C7_BAE3_458A_84FB_35E70B388DF5_.wvu.FilterData" localSheetId="0" hidden="1">'2016 год Приложение 3'!$A$12:$D$301</definedName>
    <definedName name="Z_F6122843_35FD_4DE2_8960_1676DA0EFE93_.wvu.FilterData" localSheetId="0" hidden="1">'2016 год Приложение 3'!$A$12:$D$301</definedName>
    <definedName name="Z_F77A56A8_A75D_4749_83E7_A46F30372FC7_.wvu.FilterData" localSheetId="0" hidden="1">'2016 год Приложение 3'!$A$12:$D$301</definedName>
    <definedName name="Z_F9510B3D_5733_4A2F_AD41_8D719DE08040_.wvu.FilterData" localSheetId="2" hidden="1">'2016 год Приложение  5'!$A$11:$E$451</definedName>
    <definedName name="Z_F9510B3D_5733_4A2F_AD41_8D719DE08040_.wvu.FilterData" localSheetId="0" hidden="1">'2016 год Приложение 3'!$A$11:$L$425</definedName>
    <definedName name="Z_F9510B3D_5733_4A2F_AD41_8D719DE08040_.wvu.PrintArea" localSheetId="2" hidden="1">'2016 год Приложение  5'!$A$4:$E$451</definedName>
    <definedName name="Z_F9510B3D_5733_4A2F_AD41_8D719DE08040_.wvu.PrintArea" localSheetId="0" hidden="1">'2016 год Приложение 3'!$A$4:$D$425</definedName>
    <definedName name="Z_FAEB8D12_6F02_4D2A_85DF_FFFD885E80DE_.wvu.FilterData" localSheetId="2" hidden="1">'2016 год Приложение  5'!$A$11:$E$451</definedName>
    <definedName name="Z_FAEB8D12_6F02_4D2A_85DF_FFFD885E80DE_.wvu.FilterData" localSheetId="0" hidden="1">'2016 год Приложение 3'!$A$11:$L$425</definedName>
    <definedName name="Z_FC8EFF21_FD40_4D9D_AD63_A7E5EE3E7870_.wvu.FilterData" localSheetId="2" hidden="1">'2016 год Приложение  5'!$A$11:$G$451</definedName>
    <definedName name="Z_FD079A2F_A936_4617_8D48_44BE771C9E40_.wvu.FilterData" localSheetId="2" hidden="1">'2016 год Приложение  5'!$A$11:$M$451</definedName>
    <definedName name="_xlnm.Print_Titles" localSheetId="1">'2017-2018 годы  Приложение 4'!$9:$11</definedName>
    <definedName name="_xlnm.Print_Titles" localSheetId="3">'2017-2018 годы ПРиложение 6'!$9:$11</definedName>
    <definedName name="_xlnm.Print_Area" localSheetId="2">'2016 год Приложение  5'!$A$1:$G$451</definedName>
    <definedName name="_xlnm.Print_Area" localSheetId="0">'2016 год Приложение 3'!$A$1:$F$425</definedName>
    <definedName name="_xlnm.Print_Area" localSheetId="1">'2017-2018 годы  Приложение 4'!$A$1:$E$272</definedName>
    <definedName name="_xlnm.Print_Area" localSheetId="3">'2017-2018 годы ПРиложение 6'!$A$1:$F$288</definedName>
  </definedNames>
  <calcPr fullCalcOnLoad="1"/>
</workbook>
</file>

<file path=xl/sharedStrings.xml><?xml version="1.0" encoding="utf-8"?>
<sst xmlns="http://schemas.openxmlformats.org/spreadsheetml/2006/main" count="4390" uniqueCount="476">
  <si>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</si>
  <si>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</si>
  <si>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</si>
  <si>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</si>
  <si>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</si>
  <si>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</si>
  <si>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</si>
  <si>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</si>
  <si>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</si>
  <si>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</si>
  <si>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Приложение 3</t>
  </si>
  <si>
    <t>Организационная поддержка малого и среднего предпринимательства</t>
  </si>
  <si>
    <t>Финансовая поддержка субъектов малого и среднего предпринимательства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</si>
  <si>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</si>
  <si>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</si>
  <si>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</si>
  <si>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</si>
  <si>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</si>
  <si>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</si>
  <si>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</si>
  <si>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</si>
  <si>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</si>
  <si>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</si>
  <si>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</si>
  <si>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</si>
  <si>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</si>
  <si>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</si>
  <si>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Организация и развитие предоставления муниципальных услуг (выполнение работ) многофункциональным центром предоставления государственных и муниципальных услуг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</si>
  <si>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</si>
  <si>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 xml:space="preserve">Укрепление материально-технической базы 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</si>
  <si>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</si>
  <si>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</si>
  <si>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</si>
  <si>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Строительство объектов социальной сферы в сельской местности</t>
  </si>
  <si>
    <t>Капитальные вложения в объекты недвижимого имущества государственной (муниципальной собственности)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</si>
  <si>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</si>
  <si>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</si>
  <si>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</si>
  <si>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</si>
  <si>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</si>
  <si>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</si>
  <si>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Укрепление и модернизация материально-технической базы в организациях дополнительного образования</t>
  </si>
  <si>
    <t>Обеспечение деятельности (оказание услуг) подведомственных казенных учркждений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</si>
  <si>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</si>
  <si>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</si>
  <si>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</si>
  <si>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>Строительство объектов размещения  (полигонов, площадок хранения) твердых бытовых отходов и промышленных отходов для обеспечения экологической и эффективной утилизации отходов</t>
  </si>
  <si>
    <t>Экологическое воспитание и повышение уровня культуры  населения в области охраны окружающей среды</t>
  </si>
  <si>
    <t>Профилактика правонарушений на административных участках</t>
  </si>
  <si>
    <t>Проведение мероприятий, направленных на профилактику преступлений экстремисткого и террористического характера</t>
  </si>
  <si>
    <t>Проведение мероприятий, направленных на обеспечение антитеррористической защищенности объектов жизнедеятельности мест (объектов) массового пребывания людей.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</si>
  <si>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</si>
  <si>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молодым семьям социальных выплат для приобретения (строительства) жилья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</si>
  <si>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</si>
  <si>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</si>
  <si>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</si>
  <si>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</si>
  <si>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</si>
  <si>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</si>
  <si>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 xml:space="preserve">Организация подготовки и переподготовки специалистов в сфере физической культуры и спорта  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</si>
  <si>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</si>
  <si>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</si>
  <si>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</si>
  <si>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</si>
  <si>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</si>
  <si>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</si>
  <si>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</si>
  <si>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</si>
  <si>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</si>
  <si>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</si>
  <si>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Расходы по социальному обеспечению отдельных категорий граждан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</si>
  <si>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</si>
  <si>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</si>
  <si>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</si>
  <si>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</si>
  <si>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</si>
  <si>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Руководитель контрольно-счетной комиссии муниципального района «Печора»</t>
  </si>
  <si>
    <t>Выплаты в соответствии с Решением Совета МР «Печора» от 5 июля  2007 № 4-3/37 «О мерах социальной поддержки специалистов  муниципальных учреждений образования, культуры, физической культуры и спорта, работающих и проживающих в сельских населенных пунктах и поселках городского типа муниципального образования муниципального района «Печора»»</t>
  </si>
  <si>
    <t>Дотации на выравнивание бюджетной обеспеченности поселений муниципального района «Печора»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</si>
  <si>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«Печора»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</si>
  <si>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</si>
  <si>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</si>
  <si>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Оказание муниципальных услуг (выполнение работ) учреждениями дополнительного образования детей в области физкультуры и спорта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</si>
  <si>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</si>
  <si>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</si>
  <si>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временного трудоустройства безработных граждан, испытывающих трудности в поиске работы и несовершеннолетних граждан в возрасте от 14 до 18 лет в свободное от учебы время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</si>
  <si>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</si>
  <si>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</si>
  <si>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Реконструкция, капитальный ремонт и ремонт автомобильных дорог  общего пользования местного значения</t>
  </si>
  <si>
    <t>Обеспечение мероприятий по капитальному ремонту  многоквартирных домов</t>
  </si>
  <si>
    <t>Адаптация объектов жилого фонда и жилой среды к потребностям инвалидов и других маломобильных групп населения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</si>
  <si>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</si>
  <si>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</si>
  <si>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Реализация инвестиционных проектов, обеспечивающих энергосбережение и повышение энергоэффективности  в сфере жилищно-коммунального хозяйства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</si>
  <si>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</si>
  <si>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</si>
  <si>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</si>
  <si>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</si>
  <si>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</si>
  <si>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 xml:space="preserve">Обеспечение мероприятий по капитальному ремонту многоквартирных домов 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</si>
  <si>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</si>
  <si>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</si>
  <si>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</si>
  <si>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</si>
  <si>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</si>
  <si>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</si>
  <si>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</si>
  <si>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средств, поступающих из федерального бюджета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</si>
  <si>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</si>
  <si>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</si>
  <si>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</si>
  <si>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</si>
  <si>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</si>
  <si>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</si>
  <si>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</si>
  <si>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</si>
  <si>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</si>
  <si>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Подпрограмма "Устойчивое развитие сельских территорий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</si>
  <si>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</si>
  <si>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</si>
  <si>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</si>
  <si>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</si>
  <si>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</si>
  <si>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</si>
  <si>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</si>
  <si>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</si>
  <si>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</si>
  <si>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</si>
  <si>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</si>
  <si>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Подпрограмма "Охрана окружающей среды на территории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</si>
  <si>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</si>
  <si>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</si>
  <si>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</si>
  <si>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</si>
  <si>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Муниципальная  программа «Развитие системы муниципального управления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</si>
  <si>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</si>
  <si>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</si>
  <si>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</si>
  <si>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</si>
  <si>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</si>
  <si>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</si>
  <si>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Реализация малых проектов в сфере сельского хозяйства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</si>
  <si>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2016 год</t>
  </si>
  <si>
    <t>Приложение 5</t>
  </si>
  <si>
    <t>КВСР</t>
  </si>
  <si>
    <t>Совет муниципального района «Печора»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</si>
  <si>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</si>
  <si>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</si>
  <si>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</si>
  <si>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</si>
  <si>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</si>
  <si>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</si>
  <si>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</si>
  <si>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</si>
  <si>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</si>
  <si>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</si>
  <si>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</si>
  <si>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Выплаты в соответствии с Решением Совета МР "Печора" от 5 июля  2007 № 4-3/37"О мерах социальной поддержки специалистов  муниципальных учреждений образования, культуры, физической культуры и спорта, работающих и проживающих в сельских населенных пунктах и поселках городского типа муниципального образования муниципального района "Печора"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</si>
  <si>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</si>
  <si>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</si>
  <si>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</si>
  <si>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</si>
  <si>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</si>
  <si>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</si>
  <si>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Муниципальная  программа «Безопасность жизнедеятельности населения МО МР "Печора"</t>
  </si>
  <si>
    <t>Проведение мероприятий, направленных на обеспечение антитеррористической защищенности объектов жизнедеятельности мест (объектов) массового пребывания людей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</si>
  <si>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</si>
  <si>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</si>
  <si>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</si>
  <si>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</si>
  <si>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Администрация муниципального района "Печора"</t>
  </si>
  <si>
    <t>Ведомственная структура расходов бюджета муниципального образования муниципального района "Печора" на 2016 год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</si>
  <si>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</si>
  <si>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</si>
  <si>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</si>
  <si>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</si>
  <si>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Обеспечение первичных мер пожарной безопасности муниципальных образовательных организаций</t>
  </si>
  <si>
    <t>Обеспечение беспрепятственного доступа для маломобильных групп населения в муниципальных организациях образования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</si>
  <si>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</si>
  <si>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</si>
  <si>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</si>
  <si>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Мероприятия по проведению оздоровительной кампании детей</t>
  </si>
  <si>
    <t>01 0 00 00000</t>
  </si>
  <si>
    <t>01 3 00 00000</t>
  </si>
  <si>
    <t>01 3 11 00000</t>
  </si>
  <si>
    <t>01 3 21 00000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</si>
  <si>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</si>
  <si>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</si>
  <si>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</si>
  <si>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</si>
  <si>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</si>
  <si>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</si>
  <si>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</si>
  <si>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</si>
  <si>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</si>
  <si>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</si>
  <si>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</si>
  <si>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99 0 00 51200</t>
  </si>
  <si>
    <t>99 0 00 63220</t>
  </si>
  <si>
    <t>99 0 00 02040</t>
  </si>
  <si>
    <t>99 0 00 02020</t>
  </si>
  <si>
    <t>99 0 00 02030</t>
  </si>
  <si>
    <t>99 0 00 63100</t>
  </si>
  <si>
    <t>99 0 00 63120</t>
  </si>
  <si>
    <t>04 1 11 00000</t>
  </si>
  <si>
    <t>04 0 00 00000</t>
  </si>
  <si>
    <t>04 1 00 00000</t>
  </si>
  <si>
    <t>04 1 13 00000</t>
  </si>
  <si>
    <t>04 1 14 00000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</si>
  <si>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</si>
  <si>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</si>
  <si>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</si>
  <si>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</si>
  <si>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</si>
  <si>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</si>
  <si>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</si>
  <si>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</si>
  <si>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</si>
  <si>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</si>
  <si>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</si>
  <si>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</si>
  <si>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</si>
  <si>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</si>
  <si>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</si>
  <si>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04 2 14 00000</t>
  </si>
  <si>
    <t>04 2 16 74010</t>
  </si>
  <si>
    <t>04 3 12 00000</t>
  </si>
  <si>
    <t>04 3 13 00000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</si>
  <si>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</si>
  <si>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</si>
  <si>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</si>
  <si>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</si>
  <si>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</si>
  <si>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</si>
  <si>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</si>
  <si>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08 4 21 00000</t>
  </si>
  <si>
    <t>04 2 15 00000</t>
  </si>
  <si>
    <t>09 2 00 00000</t>
  </si>
  <si>
    <t>99 0 00 53910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</si>
  <si>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</si>
  <si>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Проведение Всероссийской сельскохозяйственной переписи в 2016 году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</si>
  <si>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</si>
  <si>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</si>
  <si>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</si>
  <si>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</si>
  <si>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</si>
  <si>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</si>
  <si>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</si>
  <si>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06 0 11 00000</t>
  </si>
  <si>
    <t>06 0 21 00000</t>
  </si>
  <si>
    <t>06 0 22 00000</t>
  </si>
  <si>
    <t>06 0 23 00000</t>
  </si>
  <si>
    <t>06 0 31 00000</t>
  </si>
  <si>
    <t>06 0 51 00000</t>
  </si>
  <si>
    <t>08 1 00 00000</t>
  </si>
  <si>
    <r>
      <t xml:space="preserve">08 1 </t>
    </r>
    <r>
      <rPr>
        <sz val="12"/>
        <rFont val="Times New Roman"/>
        <family val="1"/>
      </rPr>
      <t>11 00000</t>
    </r>
  </si>
  <si>
    <r>
      <t>08 1 2</t>
    </r>
    <r>
      <rPr>
        <sz val="12"/>
        <rFont val="Times New Roman"/>
        <family val="1"/>
      </rPr>
      <t>1 00000</t>
    </r>
  </si>
  <si>
    <t>08 2 00 00000</t>
  </si>
  <si>
    <r>
      <t>08 2 32</t>
    </r>
    <r>
      <rPr>
        <sz val="12"/>
        <rFont val="Times New Roman"/>
        <family val="1"/>
      </rPr>
      <t xml:space="preserve"> 00000</t>
    </r>
  </si>
  <si>
    <r>
      <t>08 2 51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</si>
  <si>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</si>
  <si>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r>
      <t>08 4 21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</si>
  <si>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</si>
  <si>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</si>
  <si>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</si>
  <si>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</si>
  <si>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</si>
  <si>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</si>
  <si>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</si>
  <si>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</si>
  <si>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</si>
  <si>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</si>
  <si>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</si>
  <si>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</si>
  <si>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</si>
  <si>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</si>
  <si>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</si>
  <si>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</si>
  <si>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</si>
  <si>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</si>
  <si>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</si>
  <si>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</si>
  <si>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</si>
  <si>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</si>
  <si>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</si>
  <si>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</si>
  <si>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07 4 33 00000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</si>
  <si>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</si>
  <si>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</si>
  <si>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</si>
  <si>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</si>
  <si>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</si>
  <si>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</si>
  <si>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</si>
  <si>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</si>
  <si>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</si>
  <si>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</si>
  <si>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09 1 11 00000</t>
  </si>
  <si>
    <t>09 1 12 00000</t>
  </si>
  <si>
    <t>09 2 11 00000</t>
  </si>
  <si>
    <t>09 3 00 00000</t>
  </si>
  <si>
    <t>09 3 11 00000</t>
  </si>
  <si>
    <t>09 2 31 50820</t>
  </si>
  <si>
    <t>09 2 32 51350</t>
  </si>
  <si>
    <t>09 2 31 R0820</t>
  </si>
  <si>
    <t>09 2 31 74040</t>
  </si>
  <si>
    <t>03 0 00 00000</t>
  </si>
  <si>
    <t>03 1 00 00000</t>
  </si>
  <si>
    <t>03 1 14 00000</t>
  </si>
  <si>
    <t>03 1 15 00000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</si>
  <si>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</si>
  <si>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</si>
  <si>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</si>
  <si>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</si>
  <si>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</si>
  <si>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</si>
  <si>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</si>
  <si>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03 5 11 00000</t>
  </si>
  <si>
    <t>03 5 12 00000</t>
  </si>
  <si>
    <t>03 5 13 00000</t>
  </si>
  <si>
    <t>03 1 17 00000</t>
  </si>
  <si>
    <t>03 1 19 73060</t>
  </si>
  <si>
    <t>03 1 18 73120</t>
  </si>
  <si>
    <t>03 3 13 72220</t>
  </si>
  <si>
    <t>03 3 12 72210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</si>
  <si>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</si>
  <si>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</si>
  <si>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</si>
  <si>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03 2 21 09602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</si>
  <si>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«О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состояния»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</si>
  <si>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«О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комиссариаты»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</si>
  <si>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</si>
  <si>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«Об административной ответственности в Республике Коми»</t>
  </si>
  <si>
    <t xml:space="preserve"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
</t>
  </si>
  <si>
    <t>Oсуществление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«О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жилья»</t>
  </si>
  <si>
    <t>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помещений, 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</si>
  <si>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03 3 12 S2210</t>
  </si>
  <si>
    <t>03 3 13 S2220</t>
  </si>
  <si>
    <t>03 3 17 S2270</t>
  </si>
  <si>
    <t>04 4 11 S2040</t>
  </si>
  <si>
    <r>
      <t xml:space="preserve">02 2 </t>
    </r>
    <r>
      <rPr>
        <sz val="12"/>
        <rFont val="Times New Roman"/>
        <family val="1"/>
      </rPr>
      <t>12 L0180</t>
    </r>
  </si>
  <si>
    <t>05 0 13 S2150</t>
  </si>
  <si>
    <t>05 0 13 S2450</t>
  </si>
  <si>
    <t>Укрепление материально-технической базы муниципальных учреждений сферы культуры</t>
  </si>
  <si>
    <t>Комплектование документных фондов библиотек муниципальных образований</t>
  </si>
  <si>
    <t>03 2 21 S9602</t>
  </si>
  <si>
    <t>03 1 14 S9601</t>
  </si>
  <si>
    <t>к  решению Совета муниципального района "Печора" от 14 декабря 2015 года № 6-4/43</t>
  </si>
  <si>
    <t>07 3 73 73150</t>
  </si>
  <si>
    <t>Изменения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</si>
  <si>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</si>
  <si>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</si>
  <si>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</si>
  <si>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03 3 17 72270</t>
  </si>
  <si>
    <t>99 0 00 03030</t>
  </si>
  <si>
    <t>99 0 00 03040</t>
  </si>
  <si>
    <t>99 0 00 03050</t>
  </si>
  <si>
    <t>99 0 00 03070</t>
  </si>
  <si>
    <t>99 0 00 03090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</si>
  <si>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чрез-вычайных ситуаций в границах поселения</t>
  </si>
  <si>
    <t>Осуществление переданных органами местного самоуправления полномочий по решению вопросов местного значения по участию в минимизации и (или) ликвидации последствий проявления терроризма и экстремизма в границах поселения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</si>
  <si>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</si>
  <si>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обороне, защите населения и территории поселения от чрезвычайных ситуаций природного и техногенного характера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</si>
  <si>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</si>
  <si>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05 0 13 51440</t>
  </si>
  <si>
    <t>05 0 13 72150</t>
  </si>
  <si>
    <t>05 0 13 72450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</si>
  <si>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</si>
  <si>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99 0 00 03010</t>
  </si>
  <si>
    <t>Обеспечение мероприятий по землеустройству и землепользованию</t>
  </si>
  <si>
    <r>
      <t xml:space="preserve">02 2 </t>
    </r>
    <r>
      <rPr>
        <sz val="12"/>
        <rFont val="Times New Roman"/>
        <family val="1"/>
      </rPr>
      <t>11 00000</t>
    </r>
  </si>
  <si>
    <r>
      <t xml:space="preserve">02 2 </t>
    </r>
    <r>
      <rPr>
        <sz val="12"/>
        <rFont val="Times New Roman"/>
        <family val="1"/>
      </rPr>
      <t>12 00000</t>
    </r>
  </si>
  <si>
    <t xml:space="preserve">Обновление материально-технической базы муниципальных учреждений сферы культуры </t>
  </si>
  <si>
    <t>05 0 12 00000</t>
  </si>
  <si>
    <t>Укрепление материально-технической базы муниципальных учреждений</t>
  </si>
  <si>
    <t>99 0 00 24100</t>
  </si>
  <si>
    <t>03 2 11 00000</t>
  </si>
  <si>
    <t>Проведение работ связанных с подведением инженерной инфраструктуры к новым земельным участкам, предназначенным под жилищное строительство</t>
  </si>
  <si>
    <t>03 1 14 09601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</si>
  <si>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</si>
  <si>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</si>
  <si>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 xml:space="preserve">Осуществление государственного полномочия Республики Коми, предусмотренного пунктом «а» пункта 5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</si>
  <si>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>08 2 32 00000</t>
  </si>
  <si>
    <t>04 2 13 72010</t>
  </si>
  <si>
    <t>Укрепление материально-технической базы и создание безопасных условий в муниципальных образовательных организациях</t>
  </si>
  <si>
    <t>04 2 13 S2010</t>
  </si>
  <si>
    <t>02 1 14 S2550</t>
  </si>
  <si>
    <t>Оказание муниципальных услуг (выполнение работ) музеями и библиотеками</t>
  </si>
  <si>
    <t>02 1 14 72550</t>
  </si>
  <si>
    <t>Строительство (реконструкция) объектов инженерной инфраструктуры в сельской местности</t>
  </si>
  <si>
    <t xml:space="preserve"> 09 2 41 50200</t>
  </si>
  <si>
    <t>Мероприятия подпрограммы «Обеспечение жильем молодых семей» федеральной целевой программы «Жилище» на 2015-2020 годы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</si>
  <si>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</si>
  <si>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09 2 41 R0200</t>
  </si>
  <si>
    <t xml:space="preserve"> 09 2 41 R0200</t>
  </si>
  <si>
    <t>Меры социальной поддержки специалистов муниципальных учреждений образования, культуры муниципального района «Печора», работающих и проживающих в сельских населенных пунктах и поселках городского типа</t>
  </si>
  <si>
    <t>99 0 00 63160</t>
  </si>
  <si>
    <r>
      <t xml:space="preserve">02 2 </t>
    </r>
    <r>
      <rPr>
        <sz val="12"/>
        <rFont val="Times New Roman"/>
        <family val="1"/>
      </rPr>
      <t>12 50180</t>
    </r>
  </si>
  <si>
    <r>
      <t xml:space="preserve">02 2 </t>
    </r>
    <r>
      <rPr>
        <sz val="12"/>
        <rFont val="Times New Roman"/>
        <family val="1"/>
      </rPr>
      <t>12 R0180</t>
    </r>
  </si>
  <si>
    <t>Осуществление переданных органами местного самоуправления полномочий по решению вопросов местного значения 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</si>
  <si>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03 1 14 09501</t>
  </si>
  <si>
    <t>Стрительство (реконструкция) объектов инженерной инфраструктуры в сельской местности</t>
  </si>
  <si>
    <t>04 4 11 72040</t>
  </si>
  <si>
    <t>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</si>
  <si>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09 2 33 74060</t>
  </si>
  <si>
    <t>01 3 21 72560</t>
  </si>
  <si>
    <t>Реализация малых проектов в сфере предпринимательства</t>
  </si>
  <si>
    <t>Мероприятия по проведению оздоровительной кампании детей и трудоустройству подростков</t>
  </si>
  <si>
    <t>01 3 21 S2560</t>
  </si>
  <si>
    <t>03 3 14 72230</t>
  </si>
  <si>
    <t>02 2 12 00000</t>
  </si>
  <si>
    <t>Подпрограмма «Профилактика терроризма и экстремизма на территории МО МР "Печора"</t>
  </si>
  <si>
    <t>Реализация мероприятий федеральной целевой программы "Культура России (2012-2018 годы)"</t>
  </si>
  <si>
    <t>05 0 13 50140</t>
  </si>
  <si>
    <t>05 0 13 L0140</t>
  </si>
  <si>
    <t>05 0 13 R0140</t>
  </si>
  <si>
    <t>Обеспечение мероприятий по переселению граждан из аварийного жилищного фонда</t>
  </si>
  <si>
    <t>03 2 21 00000</t>
  </si>
  <si>
    <t xml:space="preserve"> 09 2 41 L0200</t>
  </si>
  <si>
    <t>Проведение выборов и референдумов</t>
  </si>
  <si>
    <t>99 0 00 02090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</si>
  <si>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</si>
  <si>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</si>
  <si>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Поддержка социально ориентированных некоммерческих организаций</t>
  </si>
  <si>
    <t>01 3 21 50640</t>
  </si>
  <si>
    <t>01 3 21 R0640</t>
  </si>
  <si>
    <t>Государственная поддержка малого и среднего предпринимательства, включая крестьянские (фермерские) хозяйства</t>
  </si>
  <si>
    <t>01 3 21 L0640</t>
  </si>
  <si>
    <t>09 3 12 S2430</t>
  </si>
  <si>
    <t>09 3 12 72430</t>
  </si>
  <si>
    <t>03 3 16 00000</t>
  </si>
  <si>
    <t>Мероприятия в области пассажирского транспорта</t>
  </si>
  <si>
    <t>99 0 00 03100</t>
  </si>
  <si>
    <t>Осуществление переданных органами местного самоуправления полномочий по решению вопросов местного значения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</si>
  <si>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04 1 13 72010</t>
  </si>
  <si>
    <t>04 1 19 00000</t>
  </si>
  <si>
    <t>02 2 11 00000</t>
  </si>
  <si>
    <t>05 0 32 00000</t>
  </si>
  <si>
    <t>Реализация мероприятий направленных на развитие различных видов и форм туризма</t>
  </si>
  <si>
    <t xml:space="preserve">к  решению Совета муниципального района "Печора" от  декабря 2016 года № </t>
  </si>
  <si>
    <t xml:space="preserve">Осуществление государственного полномочия Республики Коми, предусмотренного подпунктом «а» пункта 5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</si>
  <si>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>Приложение 4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</si>
  <si>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 на плановый период 2017 и 2018 годов</t>
  </si>
  <si>
    <t>2017 год</t>
  </si>
  <si>
    <t>2018 год</t>
  </si>
  <si>
    <t>Информационная поддержка малого и среднего предпринимательства</t>
  </si>
  <si>
    <t>01 3 12 00000</t>
  </si>
  <si>
    <t>Муниципальная  программа"Развитие образования МО МР "Печора"</t>
  </si>
  <si>
    <t>Подпрограмма "Дети и молодежь МО МР Печора""</t>
  </si>
  <si>
    <t>Осуществление информационного обеспечения государственной молодёжной политики муниципального района "Печора"</t>
  </si>
  <si>
    <t>04 3 21 00000</t>
  </si>
  <si>
    <t>Обеспечение функционирования системы "Безопасный город"</t>
  </si>
  <si>
    <t>07 4 23 00000</t>
  </si>
  <si>
    <t>Подпрограмма "Укрепление правопорядка, защита населения и территории МО МР "Печора" от чрезвычайных ситуаций"</t>
  </si>
  <si>
    <t>Подпрограмма "Социальная поддержка отдельной категории населения, развитие и укрепление института семьи на территории муниципального образования муниципального района "Печора"</t>
  </si>
  <si>
    <t>09 2 41 0000</t>
  </si>
  <si>
    <t>Предоставление на конкурсной основе субсидий социально-ориентированным некоммерческим организациям</t>
  </si>
  <si>
    <t>09 3 12 00000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</si>
  <si>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</si>
  <si>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99 0 00 99271</t>
  </si>
  <si>
    <t>Условно утверждаемые (утвержденные) расходы</t>
  </si>
  <si>
    <t>99 0 00 99990</t>
  </si>
  <si>
    <t>Приложение 6</t>
  </si>
  <si>
    <t>Ведомственная структура расходов бюджета муниципального образования муниципального района "Печора" на плановый период  2017 и 2018 годов</t>
  </si>
  <si>
    <t>Совет муниципального района "Печора"</t>
  </si>
  <si>
    <t>Подпрограмма «Улучшение состояния жилищно-коммунального комплекса на территории МО МР "Печора"</t>
  </si>
  <si>
    <r>
      <t>03 1 18</t>
    </r>
    <r>
      <rPr>
        <sz val="12"/>
        <rFont val="Times New Roman"/>
        <family val="1"/>
      </rPr>
      <t xml:space="preserve"> 73120</t>
    </r>
  </si>
  <si>
    <t>Субсидии на оборудование и содержание ледовых переправ и зимних автомобильных дорог общего пользования местного значения</t>
  </si>
  <si>
    <t>97008,4</t>
  </si>
  <si>
    <t xml:space="preserve">Закупка товаров, работ и услуг для государственных (муниципальных) нужд
</t>
  </si>
  <si>
    <t>Муниципальная  программа "Безопасность жизнедеятельности населения МО МР "Печора""</t>
  </si>
  <si>
    <t>09 2 41 00000</t>
  </si>
  <si>
    <t>Подпрограмма «Улучшение состояния жилищно-коммунального комплекса на территории МО МР «Печора»</t>
  </si>
  <si>
    <t>Подпрограмма "Обеспечение создания условий для реализации муниципальной программы</t>
  </si>
  <si>
    <t>к  решению Совета муниципального района "Печора" от  декабря 2016 года № 6-9/68</t>
  </si>
  <si>
    <t xml:space="preserve">к  решению Совета муниципального района "Печора" от    декабря 2016 года №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</si>
</sst>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#,##0.00&quot;р.&quot;"/>
  </numFmts>
  <fonts count="59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6" fillId="0" borderId="10" xfId="0" applyNumberFormat="1" applyFont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181" fontId="10" fillId="7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81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10" fillId="33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left" vertical="center" wrapText="1"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180" fontId="18" fillId="0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186" fontId="12" fillId="33" borderId="12" xfId="0" applyNumberFormat="1" applyFont="1" applyFill="1" applyBorder="1" applyAlignment="1">
      <alignment horizontal="center" vertical="center" wrapText="1"/>
    </xf>
    <xf numFmtId="187" fontId="12" fillId="33" borderId="13" xfId="0" applyNumberFormat="1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justify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justify" vertical="center" wrapText="1"/>
    </xf>
    <xf numFmtId="49" fontId="12" fillId="33" borderId="13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49" fontId="56" fillId="35" borderId="10" xfId="0" applyNumberFormat="1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vertical="center"/>
    </xf>
    <xf numFmtId="181" fontId="12" fillId="0" borderId="10" xfId="0" applyNumberFormat="1" applyFont="1" applyBorder="1" applyAlignment="1">
      <alignment vertical="center"/>
    </xf>
    <xf numFmtId="0" fontId="18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181" fontId="10" fillId="0" borderId="10" xfId="0" applyNumberFormat="1" applyFont="1" applyFill="1" applyBorder="1" applyAlignment="1">
      <alignment horizontal="right"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justify" vertical="center" wrapText="1"/>
    </xf>
    <xf numFmtId="49" fontId="12" fillId="33" borderId="16" xfId="0" applyNumberFormat="1" applyFont="1" applyFill="1" applyBorder="1" applyAlignment="1">
      <alignment horizontal="left" vertical="center" wrapText="1"/>
    </xf>
    <xf numFmtId="49" fontId="12" fillId="33" borderId="15" xfId="0" applyNumberFormat="1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wrapText="1"/>
    </xf>
    <xf numFmtId="0" fontId="12" fillId="33" borderId="18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33" borderId="19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left" vertical="center" wrapText="1"/>
    </xf>
    <xf numFmtId="0" fontId="16" fillId="33" borderId="15" xfId="0" applyNumberFormat="1" applyFont="1" applyFill="1" applyBorder="1" applyAlignment="1">
      <alignment vertical="center" wrapText="1"/>
    </xf>
    <xf numFmtId="0" fontId="17" fillId="33" borderId="15" xfId="0" applyNumberFormat="1" applyFont="1" applyFill="1" applyBorder="1" applyAlignment="1">
      <alignment horizontal="justify" vertical="center" wrapText="1"/>
    </xf>
    <xf numFmtId="0" fontId="15" fillId="33" borderId="10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19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justify" vertical="center" wrapText="1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21" xfId="0" applyFont="1" applyFill="1" applyBorder="1" applyAlignment="1">
      <alignment horizontal="justify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justify" vertical="center" wrapText="1"/>
    </xf>
    <xf numFmtId="2" fontId="12" fillId="35" borderId="10" xfId="0" applyNumberFormat="1" applyFont="1" applyFill="1" applyBorder="1" applyAlignment="1">
      <alignment vertical="center" wrapText="1"/>
    </xf>
    <xf numFmtId="180" fontId="12" fillId="35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top" wrapText="1"/>
    </xf>
    <xf numFmtId="49" fontId="12" fillId="6" borderId="10" xfId="0" applyNumberFormat="1" applyFont="1" applyFill="1" applyBorder="1" applyAlignment="1">
      <alignment horizontal="center" vertical="center" wrapText="1"/>
    </xf>
    <xf numFmtId="181" fontId="3" fillId="6" borderId="22" xfId="0" applyNumberFormat="1" applyFont="1" applyFill="1" applyBorder="1" applyAlignment="1">
      <alignment vertical="center"/>
    </xf>
    <xf numFmtId="49" fontId="56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2" fillId="6" borderId="12" xfId="0" applyNumberFormat="1" applyFont="1" applyFill="1" applyBorder="1" applyAlignment="1">
      <alignment horizontal="center" vertical="center" wrapText="1"/>
    </xf>
    <xf numFmtId="186" fontId="12" fillId="33" borderId="23" xfId="0" applyNumberFormat="1" applyFont="1" applyFill="1" applyBorder="1" applyAlignment="1">
      <alignment horizontal="center" vertical="center" wrapText="1"/>
    </xf>
    <xf numFmtId="187" fontId="12" fillId="33" borderId="14" xfId="0" applyNumberFormat="1" applyFont="1" applyFill="1" applyBorder="1" applyAlignment="1">
      <alignment horizontal="center" vertical="center" wrapText="1"/>
    </xf>
    <xf numFmtId="187" fontId="12" fillId="33" borderId="21" xfId="0" applyNumberFormat="1" applyFont="1" applyFill="1" applyBorder="1" applyAlignment="1">
      <alignment horizontal="center" vertical="center" wrapText="1"/>
    </xf>
    <xf numFmtId="0" fontId="12" fillId="33" borderId="15" xfId="0" applyNumberFormat="1" applyFont="1" applyFill="1" applyBorder="1" applyAlignment="1">
      <alignment horizontal="justify" vertical="center" wrapText="1"/>
    </xf>
    <xf numFmtId="181" fontId="10" fillId="7" borderId="10" xfId="0" applyNumberFormat="1" applyFont="1" applyFill="1" applyBorder="1" applyAlignment="1">
      <alignment horizontal="right" vertical="center" wrapText="1"/>
    </xf>
    <xf numFmtId="0" fontId="58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81" fontId="13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81" fontId="4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/>
    </xf>
    <xf numFmtId="181" fontId="12" fillId="0" borderId="0" xfId="0" applyNumberFormat="1" applyFont="1" applyAlignment="1">
      <alignment vertical="center"/>
    </xf>
    <xf numFmtId="181" fontId="56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0" fontId="12" fillId="33" borderId="17" xfId="0" applyNumberFormat="1" applyFont="1" applyFill="1" applyBorder="1" applyAlignment="1">
      <alignment horizontal="justify" vertical="center" wrapText="1"/>
    </xf>
    <xf numFmtId="0" fontId="4" fillId="35" borderId="15" xfId="0" applyNumberFormat="1" applyFont="1" applyFill="1" applyBorder="1" applyAlignment="1">
      <alignment horizontal="justify" vertical="center" wrapText="1"/>
    </xf>
    <xf numFmtId="181" fontId="12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8" fontId="12" fillId="33" borderId="1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vertical="center"/>
    </xf>
    <xf numFmtId="49" fontId="12" fillId="33" borderId="24" xfId="0" applyNumberFormat="1" applyFont="1" applyFill="1" applyBorder="1" applyAlignment="1">
      <alignment horizontal="left" vertical="center" wrapText="1"/>
    </xf>
    <xf numFmtId="4" fontId="13" fillId="0" borderId="0" xfId="0" applyNumberFormat="1" applyFont="1" applyAlignment="1">
      <alignment vertical="center"/>
    </xf>
    <xf numFmtId="188" fontId="4" fillId="33" borderId="10" xfId="0" applyNumberFormat="1" applyFont="1" applyFill="1" applyBorder="1" applyAlignment="1">
      <alignment horizontal="left" vertical="center" wrapText="1"/>
    </xf>
    <xf numFmtId="49" fontId="12" fillId="33" borderId="25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justify" vertical="top" wrapText="1"/>
    </xf>
    <xf numFmtId="0" fontId="4" fillId="35" borderId="17" xfId="0" applyNumberFormat="1" applyFont="1" applyFill="1" applyBorder="1" applyAlignment="1">
      <alignment horizontal="justify" vertical="center" wrapText="1"/>
    </xf>
    <xf numFmtId="0" fontId="15" fillId="33" borderId="18" xfId="0" applyNumberFormat="1" applyFont="1" applyFill="1" applyBorder="1" applyAlignment="1">
      <alignment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49" fontId="12" fillId="33" borderId="26" xfId="0" applyNumberFormat="1" applyFont="1" applyFill="1" applyBorder="1" applyAlignment="1">
      <alignment horizontal="center" vertical="center" wrapText="1"/>
    </xf>
    <xf numFmtId="181" fontId="12" fillId="33" borderId="2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justify" vertical="center" wrapText="1"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188" fontId="12" fillId="33" borderId="10" xfId="0" applyNumberFormat="1" applyFont="1" applyFill="1" applyBorder="1" applyAlignment="1">
      <alignment horizontal="justify" vertical="center" wrapText="1"/>
    </xf>
    <xf numFmtId="49" fontId="7" fillId="6" borderId="26" xfId="0" applyNumberFormat="1" applyFont="1" applyFill="1" applyBorder="1" applyAlignment="1">
      <alignment horizontal="left" vertical="center" wrapText="1"/>
    </xf>
    <xf numFmtId="49" fontId="7" fillId="6" borderId="26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33" borderId="27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181" fontId="4" fillId="36" borderId="0" xfId="0" applyNumberFormat="1" applyFont="1" applyFill="1" applyAlignment="1">
      <alignment vertical="center"/>
    </xf>
    <xf numFmtId="181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/>
    </xf>
    <xf numFmtId="4" fontId="13" fillId="0" borderId="0" xfId="0" applyNumberFormat="1" applyFont="1" applyFill="1" applyAlignment="1">
      <alignment vertical="center"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 vertical="center"/>
    </xf>
    <xf numFmtId="181" fontId="4" fillId="33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181" fontId="4" fillId="35" borderId="1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justify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187" fontId="12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vertical="center" wrapText="1"/>
    </xf>
    <xf numFmtId="0" fontId="17" fillId="33" borderId="10" xfId="0" applyNumberFormat="1" applyFont="1" applyFill="1" applyBorder="1" applyAlignment="1">
      <alignment horizontal="justify" vertical="center" wrapText="1"/>
    </xf>
    <xf numFmtId="0" fontId="17" fillId="33" borderId="10" xfId="0" applyNumberFormat="1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horizontal="justify" vertical="center" wrapText="1"/>
    </xf>
    <xf numFmtId="0" fontId="12" fillId="0" borderId="26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189" fontId="12" fillId="0" borderId="10" xfId="0" applyNumberFormat="1" applyFont="1" applyFill="1" applyBorder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2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49" fontId="7" fillId="6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0" fillId="35" borderId="0" xfId="0" applyFill="1" applyAlignment="1">
      <alignment/>
    </xf>
    <xf numFmtId="0" fontId="4" fillId="35" borderId="15" xfId="0" applyFont="1" applyFill="1" applyBorder="1" applyAlignment="1">
      <alignment horizontal="justify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12" fillId="0" borderId="11" xfId="0" applyNumberFormat="1" applyFont="1" applyBorder="1" applyAlignment="1">
      <alignment horizontal="justify" vertical="center" wrapText="1"/>
    </xf>
    <xf numFmtId="0" fontId="12" fillId="0" borderId="10" xfId="0" applyFont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49" fontId="0" fillId="33" borderId="0" xfId="0" applyNumberFormat="1" applyFont="1" applyFill="1" applyAlignment="1">
      <alignment horizontal="right"/>
    </xf>
    <xf numFmtId="0" fontId="12" fillId="35" borderId="10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right" vertical="center"/>
    </xf>
    <xf numFmtId="0" fontId="4" fillId="33" borderId="16" xfId="0" applyFont="1" applyFill="1" applyBorder="1" applyAlignment="1">
      <alignment horizontal="justify" vertical="center" wrapText="1"/>
    </xf>
    <xf numFmtId="49" fontId="0" fillId="35" borderId="0" xfId="0" applyNumberFormat="1" applyFont="1" applyFill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9" fontId="0" fillId="33" borderId="0" xfId="0" applyNumberFormat="1" applyFill="1" applyAlignment="1">
      <alignment horizontal="right"/>
    </xf>
    <xf numFmtId="0" fontId="12" fillId="35" borderId="10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justify" vertical="center" wrapText="1"/>
    </xf>
    <xf numFmtId="0" fontId="12" fillId="0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justify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81" fontId="10" fillId="3" borderId="10" xfId="0" applyNumberFormat="1" applyFont="1" applyFill="1" applyBorder="1" applyAlignment="1">
      <alignment horizontal="right" vertical="center"/>
    </xf>
    <xf numFmtId="49" fontId="10" fillId="35" borderId="10" xfId="0" applyNumberFormat="1" applyFont="1" applyFill="1" applyBorder="1" applyAlignment="1">
      <alignment horizontal="justify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81" fontId="10" fillId="0" borderId="10" xfId="0" applyNumberFormat="1" applyFont="1" applyBorder="1" applyAlignment="1">
      <alignment horizontal="right" vertical="center"/>
    </xf>
    <xf numFmtId="181" fontId="12" fillId="7" borderId="10" xfId="0" applyNumberFormat="1" applyFont="1" applyFill="1" applyBorder="1" applyAlignment="1">
      <alignment horizontal="right" vertical="center"/>
    </xf>
    <xf numFmtId="0" fontId="15" fillId="33" borderId="15" xfId="0" applyNumberFormat="1" applyFont="1" applyFill="1" applyBorder="1" applyAlignment="1">
      <alignment vertical="center" wrapText="1"/>
    </xf>
    <xf numFmtId="0" fontId="58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/>
    </xf>
    <xf numFmtId="181" fontId="56" fillId="33" borderId="10" xfId="0" applyNumberFormat="1" applyFont="1" applyFill="1" applyBorder="1" applyAlignment="1">
      <alignment horizontal="right" vertical="center"/>
    </xf>
    <xf numFmtId="49" fontId="17" fillId="0" borderId="26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180" fontId="9" fillId="0" borderId="0" xfId="0" applyNumberFormat="1" applyFont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-base\&#1041;&#1102;&#1076;&#1078;&#1077;&#1090;%202016\&#1052;&#1059;&#1053;&#1048;&#1062;&#1048;&#1055;&#1040;&#1051;&#1068;&#1053;&#1067;&#1049;%20&#1056;&#1040;&#1049;&#1054;&#1053;\&#1056;&#1045;&#1064;&#1045;&#1053;&#1048;&#1071;%20&#1086;%20&#1041;&#1070;&#1044;&#1046;&#1045;&#1058;&#1045;\&#1056;&#1077;&#1096;&#1077;&#1085;&#1080;&#1077;%20&#1057;&#1086;&#1074;&#1077;&#1090;&#1072;%2029.04.2016%20&#8470;%206-9-68\29.04.2016%20&#8470;%206-9-68\&#1055;&#1088;&#1080;&#1083;&#1086;&#1078;&#1077;&#1085;&#1080;&#1077;%202,3,4,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год Приложение 3"/>
      <sheetName val="2017-2018 годы Приложение 4"/>
      <sheetName val="2016 год Приложение  5"/>
      <sheetName val="2017-2018 годы Приложение 6"/>
    </sheetNames>
    <sheetDataSet>
      <sheetData sheetId="3">
        <row r="82">
          <cell r="E82">
            <v>100</v>
          </cell>
          <cell r="F82">
            <v>100</v>
          </cell>
        </row>
        <row r="101">
          <cell r="E101">
            <v>97008.4</v>
          </cell>
          <cell r="F101">
            <v>97439</v>
          </cell>
        </row>
        <row r="112">
          <cell r="E112">
            <v>86.1</v>
          </cell>
          <cell r="F112">
            <v>86.1</v>
          </cell>
        </row>
        <row r="115">
          <cell r="E115">
            <v>58.9</v>
          </cell>
          <cell r="F115">
            <v>58.9</v>
          </cell>
        </row>
        <row r="121">
          <cell r="E121">
            <v>58.9</v>
          </cell>
          <cell r="F121">
            <v>58.9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5"/>
  <sheetViews>
    <sheetView view="pageBreakPreview" zoomScaleNormal="90" zoomScaleSheetLayoutView="100" workbookViewId="0" topLeftCell="A1">
      <selection activeCell="D9" sqref="D9:D10"/>
    </sheetView>
  </sheetViews>
  <sheetFormatPr defaultColWidth="9.140625" defaultRowHeight="9.75" customHeight="1"/>
  <cols>
    <col min="1" max="1" width="56.421875" style="21" customWidth="1"/>
    <col min="2" max="2" width="17.8515625" style="21" customWidth="1"/>
    <col min="3" max="3" width="6.8515625" style="21" customWidth="1"/>
    <col min="4" max="4" width="13.28125" style="21" customWidth="1"/>
    <col min="5" max="5" width="14.140625" style="21" customWidth="1"/>
    <col min="6" max="6" width="15.421875" style="21" customWidth="1"/>
    <col min="7" max="7" width="13.140625" style="21" customWidth="1"/>
    <col min="8" max="8" width="13.28125" style="21" customWidth="1"/>
    <col min="9" max="9" width="13.140625" style="21" customWidth="1"/>
    <col min="10" max="10" width="12.8515625" style="21" customWidth="1"/>
    <col min="11" max="11" width="8.8515625" style="21" customWidth="1"/>
    <col min="12" max="12" width="12.57421875" style="195" customWidth="1"/>
    <col min="13" max="13" width="11.8515625" style="21" bestFit="1" customWidth="1"/>
    <col min="14" max="16384" width="9.140625" style="21" customWidth="1"/>
  </cols>
  <sheetData>
    <row r="1" spans="2:6" ht="16.5" customHeight="1">
      <c r="B1" s="260" t="s">
        <v>10</v>
      </c>
      <c r="C1" s="260"/>
      <c r="D1" s="260"/>
      <c r="E1" s="260"/>
      <c r="F1" s="260"/>
    </row>
    <row r="2" spans="2:6" ht="31.5" customHeight="1">
      <c r="B2" s="264" t="s">
        <v>439</v>
      </c>
      <c r="C2" s="264"/>
      <c r="D2" s="264"/>
      <c r="E2" s="264"/>
      <c r="F2" s="264"/>
    </row>
    <row r="4" spans="1:12" s="6" customFormat="1" ht="20.25" customHeight="1">
      <c r="A4" s="5"/>
      <c r="B4" s="260" t="s">
        <v>10</v>
      </c>
      <c r="C4" s="260"/>
      <c r="D4" s="260"/>
      <c r="E4" s="260"/>
      <c r="F4" s="260"/>
      <c r="L4" s="197"/>
    </row>
    <row r="5" spans="1:12" s="6" customFormat="1" ht="34.5" customHeight="1">
      <c r="A5" s="5"/>
      <c r="B5" s="264" t="s">
        <v>347</v>
      </c>
      <c r="C5" s="264"/>
      <c r="D5" s="264"/>
      <c r="E5" s="264"/>
      <c r="F5" s="264"/>
      <c r="L5" s="197"/>
    </row>
    <row r="6" spans="1:12" s="6" customFormat="1" ht="12.75" customHeight="1">
      <c r="A6" s="5"/>
      <c r="L6" s="197"/>
    </row>
    <row r="7" spans="1:6" ht="62.25" customHeight="1">
      <c r="A7" s="263" t="s">
        <v>142</v>
      </c>
      <c r="B7" s="263"/>
      <c r="C7" s="263"/>
      <c r="D7" s="263"/>
      <c r="E7" s="263"/>
      <c r="F7" s="263"/>
    </row>
    <row r="8" spans="1:6" ht="15.75">
      <c r="A8" s="1" t="s">
        <v>0</v>
      </c>
      <c r="B8" s="1" t="s">
        <v>0</v>
      </c>
      <c r="C8" s="1" t="s">
        <v>0</v>
      </c>
      <c r="D8" s="2"/>
      <c r="E8" s="2"/>
      <c r="F8" s="2"/>
    </row>
    <row r="9" spans="1:8" ht="18" customHeight="1">
      <c r="A9" s="261" t="s">
        <v>3</v>
      </c>
      <c r="B9" s="258" t="s">
        <v>1</v>
      </c>
      <c r="C9" s="258" t="s">
        <v>2</v>
      </c>
      <c r="D9" s="258" t="s">
        <v>9</v>
      </c>
      <c r="E9" s="258" t="s">
        <v>349</v>
      </c>
      <c r="F9" s="258" t="s">
        <v>9</v>
      </c>
      <c r="H9" s="30"/>
    </row>
    <row r="10" spans="1:9" ht="29.25" customHeight="1">
      <c r="A10" s="262"/>
      <c r="B10" s="259"/>
      <c r="C10" s="259"/>
      <c r="D10" s="259"/>
      <c r="E10" s="259"/>
      <c r="F10" s="259"/>
      <c r="I10" s="30"/>
    </row>
    <row r="11" spans="1:12" s="4" customFormat="1" ht="15" customHeight="1">
      <c r="A11" s="29" t="s">
        <v>4</v>
      </c>
      <c r="B11" s="29" t="s">
        <v>5</v>
      </c>
      <c r="C11" s="29" t="s">
        <v>6</v>
      </c>
      <c r="D11" s="29" t="s">
        <v>7</v>
      </c>
      <c r="E11" s="29">
        <v>5</v>
      </c>
      <c r="F11" s="29">
        <v>4</v>
      </c>
      <c r="H11" s="4" t="s">
        <v>143</v>
      </c>
      <c r="L11" s="195"/>
    </row>
    <row r="12" spans="1:13" ht="18.75">
      <c r="A12" s="33" t="s">
        <v>8</v>
      </c>
      <c r="B12" s="7" t="s">
        <v>0</v>
      </c>
      <c r="C12" s="7" t="s">
        <v>0</v>
      </c>
      <c r="D12" s="8">
        <f>D13+D29+D52+D119+D190+D230+D244+D306+D332+D364</f>
        <v>2550527.7999999993</v>
      </c>
      <c r="E12" s="8">
        <f>E13+E29+E52+E119+E190+E230+E244+E306+E332+E364</f>
        <v>1841.8000000000002</v>
      </c>
      <c r="F12" s="8">
        <f>F13+F29+F52+F119+F190+F230+F244+F306+F332+F364</f>
        <v>2552369.6</v>
      </c>
      <c r="G12" s="30"/>
      <c r="H12" s="30">
        <f>'2016 год Приложение  5'!E12</f>
        <v>2550527.8</v>
      </c>
      <c r="I12" s="30">
        <f>'2016 год Приложение  5'!F12</f>
        <v>1841.8000000000002</v>
      </c>
      <c r="J12" s="30">
        <f>'2016 год Приложение  5'!G12</f>
        <v>2552369.5999999996</v>
      </c>
      <c r="K12" s="3"/>
      <c r="L12" s="165">
        <f>'2016 год Приложение  5'!G12</f>
        <v>2552369.5999999996</v>
      </c>
      <c r="M12" s="195">
        <f>F12-L12</f>
        <v>0</v>
      </c>
    </row>
    <row r="13" spans="1:13" ht="31.5">
      <c r="A13" s="34" t="s">
        <v>95</v>
      </c>
      <c r="B13" s="35" t="s">
        <v>182</v>
      </c>
      <c r="C13" s="35" t="s">
        <v>0</v>
      </c>
      <c r="D13" s="36">
        <f>D14</f>
        <v>3090.9999999999995</v>
      </c>
      <c r="E13" s="36">
        <f>E14</f>
        <v>0</v>
      </c>
      <c r="F13" s="36">
        <f>F14</f>
        <v>3090.9999999999995</v>
      </c>
      <c r="G13" s="30"/>
      <c r="H13" s="30">
        <f>H12-D12</f>
        <v>0</v>
      </c>
      <c r="I13" s="30">
        <f>I12-E12</f>
        <v>0</v>
      </c>
      <c r="J13" s="30">
        <f>J12-F12</f>
        <v>0</v>
      </c>
      <c r="K13" s="3"/>
      <c r="L13" s="165">
        <f>'2016 год Приложение  5'!G26</f>
        <v>3091</v>
      </c>
      <c r="M13" s="195">
        <f>F13-L13</f>
        <v>0</v>
      </c>
    </row>
    <row r="14" spans="1:12" ht="47.25">
      <c r="A14" s="15" t="s">
        <v>96</v>
      </c>
      <c r="B14" s="161" t="s">
        <v>183</v>
      </c>
      <c r="C14" s="13" t="s">
        <v>0</v>
      </c>
      <c r="D14" s="14">
        <f>D15+D17+D19+D25+D27+D23+D21</f>
        <v>3090.9999999999995</v>
      </c>
      <c r="E14" s="14">
        <f>E15+E17+E19+E25+E27+E23+E21</f>
        <v>0</v>
      </c>
      <c r="F14" s="14">
        <f>F15+F17+F19+F25+F27+F23+F21</f>
        <v>3090.9999999999995</v>
      </c>
      <c r="G14" s="30"/>
      <c r="H14" s="30"/>
      <c r="I14" s="30"/>
      <c r="J14" s="30"/>
      <c r="K14" s="3"/>
      <c r="L14" s="165"/>
    </row>
    <row r="15" spans="1:12" ht="31.5">
      <c r="A15" s="16" t="s">
        <v>11</v>
      </c>
      <c r="B15" s="17" t="s">
        <v>184</v>
      </c>
      <c r="C15" s="48"/>
      <c r="D15" s="24">
        <f>D16</f>
        <v>180</v>
      </c>
      <c r="E15" s="24">
        <f>E16</f>
        <v>0</v>
      </c>
      <c r="F15" s="24">
        <f>F16</f>
        <v>180</v>
      </c>
      <c r="G15" s="30"/>
      <c r="H15" s="30"/>
      <c r="I15" s="30"/>
      <c r="J15" s="30"/>
      <c r="K15" s="3"/>
      <c r="L15" s="165"/>
    </row>
    <row r="16" spans="1:12" ht="31.5">
      <c r="A16" s="86" t="s">
        <v>18</v>
      </c>
      <c r="B16" s="17" t="s">
        <v>184</v>
      </c>
      <c r="C16" s="48" t="s">
        <v>13</v>
      </c>
      <c r="D16" s="24">
        <f>'2016 год Приложение  5'!E29</f>
        <v>180</v>
      </c>
      <c r="E16" s="24">
        <f>'2016 год Приложение  5'!F29</f>
        <v>0</v>
      </c>
      <c r="F16" s="24">
        <f>'2016 год Приложение  5'!G29</f>
        <v>180</v>
      </c>
      <c r="G16" s="30"/>
      <c r="H16" s="30"/>
      <c r="I16" s="30"/>
      <c r="J16" s="30"/>
      <c r="K16" s="3"/>
      <c r="L16" s="165"/>
    </row>
    <row r="17" spans="1:12" ht="31.5">
      <c r="A17" s="46" t="s">
        <v>12</v>
      </c>
      <c r="B17" s="17" t="s">
        <v>185</v>
      </c>
      <c r="C17" s="48"/>
      <c r="D17" s="24">
        <f>D18</f>
        <v>569.3</v>
      </c>
      <c r="E17" s="24">
        <f>E18</f>
        <v>0</v>
      </c>
      <c r="F17" s="24">
        <f>F18</f>
        <v>569.3</v>
      </c>
      <c r="G17" s="30"/>
      <c r="H17" s="30"/>
      <c r="I17" s="30"/>
      <c r="J17" s="30"/>
      <c r="K17" s="3"/>
      <c r="L17" s="165"/>
    </row>
    <row r="18" spans="1:12" ht="15.75">
      <c r="A18" s="51" t="s">
        <v>14</v>
      </c>
      <c r="B18" s="17" t="s">
        <v>185</v>
      </c>
      <c r="C18" s="48" t="s">
        <v>17</v>
      </c>
      <c r="D18" s="24">
        <f>'2016 год Приложение  5'!E31</f>
        <v>569.3</v>
      </c>
      <c r="E18" s="24">
        <f>'2016 год Приложение  5'!F31</f>
        <v>0</v>
      </c>
      <c r="F18" s="24">
        <f>'2016 год Приложение  5'!G31</f>
        <v>569.3</v>
      </c>
      <c r="G18" s="30"/>
      <c r="H18" s="30"/>
      <c r="I18" s="30"/>
      <c r="J18" s="30"/>
      <c r="K18" s="3"/>
      <c r="L18" s="165"/>
    </row>
    <row r="19" spans="1:12" ht="47.25">
      <c r="A19" s="51" t="s">
        <v>426</v>
      </c>
      <c r="B19" s="17" t="s">
        <v>424</v>
      </c>
      <c r="C19" s="48"/>
      <c r="D19" s="24">
        <f>D20</f>
        <v>773.3</v>
      </c>
      <c r="E19" s="24">
        <f>E20</f>
        <v>0</v>
      </c>
      <c r="F19" s="24">
        <f>F20</f>
        <v>773.3</v>
      </c>
      <c r="G19" s="30"/>
      <c r="H19" s="30"/>
      <c r="I19" s="30"/>
      <c r="J19" s="30"/>
      <c r="K19" s="3"/>
      <c r="L19" s="165"/>
    </row>
    <row r="20" spans="1:12" ht="15.75">
      <c r="A20" s="51" t="s">
        <v>14</v>
      </c>
      <c r="B20" s="17" t="s">
        <v>424</v>
      </c>
      <c r="C20" s="48" t="s">
        <v>17</v>
      </c>
      <c r="D20" s="24">
        <f>'2016 год Приложение  5'!E33</f>
        <v>773.3</v>
      </c>
      <c r="E20" s="24">
        <f>'2016 год Приложение  5'!F33</f>
        <v>0</v>
      </c>
      <c r="F20" s="24">
        <f>'2016 год Приложение  5'!G33</f>
        <v>773.3</v>
      </c>
      <c r="G20" s="30"/>
      <c r="H20" s="30"/>
      <c r="I20" s="30"/>
      <c r="J20" s="30"/>
      <c r="K20" s="3"/>
      <c r="L20" s="165"/>
    </row>
    <row r="21" spans="1:12" ht="31.5">
      <c r="A21" s="46" t="s">
        <v>406</v>
      </c>
      <c r="B21" s="17" t="s">
        <v>405</v>
      </c>
      <c r="C21" s="48"/>
      <c r="D21" s="24">
        <f>D22</f>
        <v>579.6</v>
      </c>
      <c r="E21" s="24">
        <f>E22</f>
        <v>0</v>
      </c>
      <c r="F21" s="24">
        <f>F22</f>
        <v>579.6</v>
      </c>
      <c r="G21" s="30"/>
      <c r="H21" s="30"/>
      <c r="I21" s="30"/>
      <c r="J21" s="30"/>
      <c r="K21" s="3"/>
      <c r="L21" s="165"/>
    </row>
    <row r="22" spans="1:12" ht="15.75">
      <c r="A22" s="51" t="s">
        <v>14</v>
      </c>
      <c r="B22" s="17" t="s">
        <v>405</v>
      </c>
      <c r="C22" s="48" t="s">
        <v>17</v>
      </c>
      <c r="D22" s="24">
        <f>'2016 год Приложение  5'!E35</f>
        <v>579.6</v>
      </c>
      <c r="E22" s="24">
        <f>'2016 год Приложение  5'!F35</f>
        <v>0</v>
      </c>
      <c r="F22" s="24">
        <f>'2016 год Приложение  5'!G35</f>
        <v>579.6</v>
      </c>
      <c r="G22" s="30"/>
      <c r="H22" s="30"/>
      <c r="I22" s="30"/>
      <c r="J22" s="30"/>
      <c r="K22" s="3"/>
      <c r="L22" s="165"/>
    </row>
    <row r="23" spans="1:12" ht="47.25">
      <c r="A23" s="51" t="s">
        <v>426</v>
      </c>
      <c r="B23" s="17" t="s">
        <v>427</v>
      </c>
      <c r="C23" s="48"/>
      <c r="D23" s="24">
        <f>D24</f>
        <v>597.2</v>
      </c>
      <c r="E23" s="24">
        <f>E24</f>
        <v>0</v>
      </c>
      <c r="F23" s="24">
        <f>F24</f>
        <v>597.2</v>
      </c>
      <c r="G23" s="30"/>
      <c r="H23" s="30"/>
      <c r="I23" s="30"/>
      <c r="J23" s="30"/>
      <c r="K23" s="3"/>
      <c r="L23" s="165"/>
    </row>
    <row r="24" spans="1:12" ht="15.75">
      <c r="A24" s="51" t="s">
        <v>14</v>
      </c>
      <c r="B24" s="17" t="s">
        <v>427</v>
      </c>
      <c r="C24" s="48" t="s">
        <v>17</v>
      </c>
      <c r="D24" s="24">
        <f>'2016 год Приложение  5'!E37</f>
        <v>597.2</v>
      </c>
      <c r="E24" s="24">
        <f>'2016 год Приложение  5'!F37</f>
        <v>0</v>
      </c>
      <c r="F24" s="24">
        <f>'2016 год Приложение  5'!G37</f>
        <v>597.2</v>
      </c>
      <c r="G24" s="30"/>
      <c r="H24" s="30"/>
      <c r="I24" s="30"/>
      <c r="J24" s="30"/>
      <c r="K24" s="3"/>
      <c r="L24" s="165"/>
    </row>
    <row r="25" spans="1:12" ht="31.5">
      <c r="A25" s="46" t="s">
        <v>406</v>
      </c>
      <c r="B25" s="17" t="s">
        <v>425</v>
      </c>
      <c r="C25" s="48"/>
      <c r="D25" s="24">
        <f>D26</f>
        <v>308.8</v>
      </c>
      <c r="E25" s="24">
        <f>E26</f>
        <v>0</v>
      </c>
      <c r="F25" s="24">
        <f>F26</f>
        <v>308.8</v>
      </c>
      <c r="G25" s="30"/>
      <c r="H25" s="30"/>
      <c r="I25" s="30"/>
      <c r="J25" s="30"/>
      <c r="K25" s="3"/>
      <c r="L25" s="165"/>
    </row>
    <row r="26" spans="1:12" ht="15.75">
      <c r="A26" s="51" t="s">
        <v>14</v>
      </c>
      <c r="B26" s="17" t="s">
        <v>425</v>
      </c>
      <c r="C26" s="48" t="s">
        <v>17</v>
      </c>
      <c r="D26" s="24">
        <f>'2016 год Приложение  5'!E39</f>
        <v>308.8</v>
      </c>
      <c r="E26" s="24">
        <f>'2016 год Приложение  5'!F39</f>
        <v>0</v>
      </c>
      <c r="F26" s="24">
        <f>'2016 год Приложение  5'!G39</f>
        <v>308.8</v>
      </c>
      <c r="G26" s="30"/>
      <c r="H26" s="30"/>
      <c r="I26" s="30"/>
      <c r="J26" s="30"/>
      <c r="K26" s="3"/>
      <c r="L26" s="165"/>
    </row>
    <row r="27" spans="1:12" ht="31.5">
      <c r="A27" s="46" t="s">
        <v>406</v>
      </c>
      <c r="B27" s="17" t="s">
        <v>408</v>
      </c>
      <c r="C27" s="48"/>
      <c r="D27" s="24">
        <f>D28</f>
        <v>82.8</v>
      </c>
      <c r="E27" s="24">
        <f>E28</f>
        <v>0</v>
      </c>
      <c r="F27" s="24">
        <f>F28</f>
        <v>82.8</v>
      </c>
      <c r="G27" s="30"/>
      <c r="H27" s="30"/>
      <c r="I27" s="30"/>
      <c r="J27" s="30"/>
      <c r="K27" s="3"/>
      <c r="L27" s="165"/>
    </row>
    <row r="28" spans="1:12" ht="15.75">
      <c r="A28" s="51" t="s">
        <v>14</v>
      </c>
      <c r="B28" s="17" t="s">
        <v>408</v>
      </c>
      <c r="C28" s="48" t="s">
        <v>17</v>
      </c>
      <c r="D28" s="24">
        <f>'2016 год Приложение  5'!E41</f>
        <v>82.8</v>
      </c>
      <c r="E28" s="24">
        <f>'2016 год Приложение  5'!F41</f>
        <v>0</v>
      </c>
      <c r="F28" s="24">
        <f>'2016 год Приложение  5'!G41</f>
        <v>82.8</v>
      </c>
      <c r="G28" s="30"/>
      <c r="H28" s="30"/>
      <c r="I28" s="30"/>
      <c r="J28" s="30"/>
      <c r="K28" s="3"/>
      <c r="L28" s="165"/>
    </row>
    <row r="29" spans="1:13" ht="47.25">
      <c r="A29" s="34" t="s">
        <v>97</v>
      </c>
      <c r="B29" s="35" t="s">
        <v>266</v>
      </c>
      <c r="C29" s="35" t="s">
        <v>0</v>
      </c>
      <c r="D29" s="36">
        <f>D30+D39</f>
        <v>25386.9</v>
      </c>
      <c r="E29" s="36">
        <f>E30+E39</f>
        <v>-1950.6</v>
      </c>
      <c r="F29" s="36">
        <f>F30+F39</f>
        <v>23436.3</v>
      </c>
      <c r="G29" s="30"/>
      <c r="H29" s="30"/>
      <c r="I29" s="30"/>
      <c r="J29" s="30"/>
      <c r="K29" s="3"/>
      <c r="L29" s="165">
        <f>'2016 год Приложение  5'!G42</f>
        <v>23436.3</v>
      </c>
      <c r="M29" s="194">
        <f>L29-F29</f>
        <v>0</v>
      </c>
    </row>
    <row r="30" spans="1:12" ht="31.5">
      <c r="A30" s="12" t="s">
        <v>116</v>
      </c>
      <c r="B30" s="13" t="s">
        <v>267</v>
      </c>
      <c r="C30" s="13" t="s">
        <v>0</v>
      </c>
      <c r="D30" s="14">
        <f>D31+D33+D37+D35</f>
        <v>665</v>
      </c>
      <c r="E30" s="14">
        <f>E31+E33+E37+E35</f>
        <v>0</v>
      </c>
      <c r="F30" s="14">
        <f>F31+F33+F37+F35</f>
        <v>665</v>
      </c>
      <c r="G30" s="30"/>
      <c r="H30" s="30"/>
      <c r="I30" s="30"/>
      <c r="J30" s="30"/>
      <c r="K30" s="3"/>
      <c r="L30" s="165"/>
    </row>
    <row r="31" spans="1:12" ht="15.75">
      <c r="A31" s="16" t="s">
        <v>31</v>
      </c>
      <c r="B31" s="9" t="s">
        <v>268</v>
      </c>
      <c r="C31" s="9"/>
      <c r="D31" s="24">
        <f>D32</f>
        <v>85</v>
      </c>
      <c r="E31" s="24">
        <f>E32</f>
        <v>0</v>
      </c>
      <c r="F31" s="24">
        <f>F32</f>
        <v>85</v>
      </c>
      <c r="G31" s="30"/>
      <c r="H31" s="30"/>
      <c r="I31" s="30"/>
      <c r="J31" s="30"/>
      <c r="K31" s="3"/>
      <c r="L31" s="165"/>
    </row>
    <row r="32" spans="1:12" ht="31.5">
      <c r="A32" s="86" t="s">
        <v>18</v>
      </c>
      <c r="B32" s="9" t="s">
        <v>268</v>
      </c>
      <c r="C32" s="48" t="s">
        <v>13</v>
      </c>
      <c r="D32" s="24">
        <f>'2016 год Приложение  5'!E45</f>
        <v>85</v>
      </c>
      <c r="E32" s="24">
        <f>'2016 год Приложение  5'!F45</f>
        <v>0</v>
      </c>
      <c r="F32" s="24">
        <f>'2016 год Приложение  5'!G45</f>
        <v>85</v>
      </c>
      <c r="G32" s="30"/>
      <c r="H32" s="30"/>
      <c r="I32" s="30"/>
      <c r="J32" s="30"/>
      <c r="K32" s="3"/>
      <c r="L32" s="165"/>
    </row>
    <row r="33" spans="1:12" ht="63">
      <c r="A33" s="16" t="s">
        <v>32</v>
      </c>
      <c r="B33" s="9" t="s">
        <v>269</v>
      </c>
      <c r="C33" s="9"/>
      <c r="D33" s="24">
        <f>D34</f>
        <v>20</v>
      </c>
      <c r="E33" s="24">
        <f>E34</f>
        <v>0</v>
      </c>
      <c r="F33" s="24">
        <f>F34</f>
        <v>20</v>
      </c>
      <c r="G33" s="30"/>
      <c r="H33" s="30"/>
      <c r="I33" s="30"/>
      <c r="J33" s="30"/>
      <c r="K33" s="3"/>
      <c r="L33" s="165"/>
    </row>
    <row r="34" spans="1:12" ht="15.75">
      <c r="A34" s="51" t="s">
        <v>14</v>
      </c>
      <c r="B34" s="9" t="s">
        <v>269</v>
      </c>
      <c r="C34" s="48" t="s">
        <v>17</v>
      </c>
      <c r="D34" s="24">
        <f>'2016 год Приложение  5'!E47</f>
        <v>20</v>
      </c>
      <c r="E34" s="24">
        <f>'2016 год Приложение  5'!F47</f>
        <v>0</v>
      </c>
      <c r="F34" s="24">
        <f>'2016 год Приложение  5'!G47</f>
        <v>20</v>
      </c>
      <c r="G34" s="30"/>
      <c r="H34" s="30"/>
      <c r="I34" s="30"/>
      <c r="J34" s="30"/>
      <c r="K34" s="3"/>
      <c r="L34" s="165"/>
    </row>
    <row r="35" spans="1:12" ht="31.5">
      <c r="A35" s="51" t="s">
        <v>141</v>
      </c>
      <c r="B35" s="9" t="s">
        <v>388</v>
      </c>
      <c r="C35" s="48"/>
      <c r="D35" s="24">
        <f>D36</f>
        <v>490</v>
      </c>
      <c r="E35" s="24">
        <f>E36</f>
        <v>0</v>
      </c>
      <c r="F35" s="24">
        <f>F36</f>
        <v>490</v>
      </c>
      <c r="G35" s="30"/>
      <c r="H35" s="30"/>
      <c r="I35" s="30"/>
      <c r="J35" s="30"/>
      <c r="K35" s="3"/>
      <c r="L35" s="165"/>
    </row>
    <row r="36" spans="1:12" ht="15.75">
      <c r="A36" s="86" t="s">
        <v>14</v>
      </c>
      <c r="B36" s="9" t="s">
        <v>388</v>
      </c>
      <c r="C36" s="48" t="s">
        <v>17</v>
      </c>
      <c r="D36" s="24">
        <f>'2016 год Приложение  5'!E49</f>
        <v>490</v>
      </c>
      <c r="E36" s="24">
        <f>'2016 год Приложение  5'!F49</f>
        <v>0</v>
      </c>
      <c r="F36" s="24">
        <f>'2016 год Приложение  5'!G49</f>
        <v>490</v>
      </c>
      <c r="G36" s="30"/>
      <c r="H36" s="30"/>
      <c r="I36" s="30"/>
      <c r="J36" s="30"/>
      <c r="K36" s="3"/>
      <c r="L36" s="165"/>
    </row>
    <row r="37" spans="1:12" ht="31.5">
      <c r="A37" s="51" t="s">
        <v>141</v>
      </c>
      <c r="B37" s="9" t="s">
        <v>386</v>
      </c>
      <c r="C37" s="48"/>
      <c r="D37" s="24">
        <f>'2016 год Приложение  5'!E50</f>
        <v>70</v>
      </c>
      <c r="E37" s="24">
        <f>'2016 год Приложение  5'!F50</f>
        <v>0</v>
      </c>
      <c r="F37" s="24">
        <f>'2016 год Приложение  5'!G50</f>
        <v>70</v>
      </c>
      <c r="G37" s="30"/>
      <c r="H37" s="30"/>
      <c r="I37" s="30"/>
      <c r="J37" s="30"/>
      <c r="K37" s="3"/>
      <c r="L37" s="165"/>
    </row>
    <row r="38" spans="1:12" ht="15.75">
      <c r="A38" s="86" t="s">
        <v>14</v>
      </c>
      <c r="B38" s="9" t="s">
        <v>386</v>
      </c>
      <c r="C38" s="48" t="s">
        <v>17</v>
      </c>
      <c r="D38" s="24">
        <f>'2016 год Приложение  5'!E51</f>
        <v>70</v>
      </c>
      <c r="E38" s="24">
        <f>'2016 год Приложение  5'!F51</f>
        <v>0</v>
      </c>
      <c r="F38" s="24">
        <f>'2016 год Приложение  5'!G51</f>
        <v>70</v>
      </c>
      <c r="G38" s="30"/>
      <c r="H38" s="30"/>
      <c r="I38" s="30"/>
      <c r="J38" s="30"/>
      <c r="K38" s="3"/>
      <c r="L38" s="165"/>
    </row>
    <row r="39" spans="1:12" ht="31.5">
      <c r="A39" s="12" t="s">
        <v>117</v>
      </c>
      <c r="B39" s="13" t="s">
        <v>270</v>
      </c>
      <c r="C39" s="13" t="s">
        <v>0</v>
      </c>
      <c r="D39" s="14">
        <f>D48+D40+D43+D46+D50</f>
        <v>24721.9</v>
      </c>
      <c r="E39" s="14">
        <f>E48+E40+E43+E46+E50</f>
        <v>-1950.6</v>
      </c>
      <c r="F39" s="14">
        <f>F48+F40+F43+F46+F50</f>
        <v>22771.3</v>
      </c>
      <c r="G39" s="30"/>
      <c r="H39" s="30"/>
      <c r="I39" s="30"/>
      <c r="J39" s="30"/>
      <c r="K39" s="3"/>
      <c r="L39" s="165"/>
    </row>
    <row r="40" spans="1:12" ht="31.5">
      <c r="A40" s="171" t="s">
        <v>33</v>
      </c>
      <c r="B40" s="169" t="s">
        <v>370</v>
      </c>
      <c r="C40" s="169"/>
      <c r="D40" s="82">
        <f>D42+D41</f>
        <v>1301.1</v>
      </c>
      <c r="E40" s="82">
        <f>E42+E41</f>
        <v>0</v>
      </c>
      <c r="F40" s="82">
        <f>F42+F41</f>
        <v>1301.1</v>
      </c>
      <c r="G40" s="30"/>
      <c r="H40" s="30"/>
      <c r="I40" s="30"/>
      <c r="J40" s="30"/>
      <c r="K40" s="3"/>
      <c r="L40" s="165"/>
    </row>
    <row r="41" spans="1:12" ht="31.5">
      <c r="A41" s="171" t="s">
        <v>18</v>
      </c>
      <c r="B41" s="25" t="s">
        <v>436</v>
      </c>
      <c r="C41" s="25" t="s">
        <v>13</v>
      </c>
      <c r="D41" s="82">
        <f>'2016 год Приложение  5'!E54</f>
        <v>35</v>
      </c>
      <c r="E41" s="82">
        <f>'2016 год Приложение  5'!F54</f>
        <v>0</v>
      </c>
      <c r="F41" s="82">
        <f>'2016 год Приложение  5'!G54</f>
        <v>35</v>
      </c>
      <c r="G41" s="30"/>
      <c r="H41" s="30"/>
      <c r="I41" s="30"/>
      <c r="J41" s="30"/>
      <c r="K41" s="3"/>
      <c r="L41" s="165"/>
    </row>
    <row r="42" spans="1:12" ht="47.25">
      <c r="A42" s="172" t="s">
        <v>34</v>
      </c>
      <c r="B42" s="169" t="s">
        <v>370</v>
      </c>
      <c r="C42" s="169" t="s">
        <v>35</v>
      </c>
      <c r="D42" s="82">
        <f>'2016 год Приложение  5'!E55</f>
        <v>1266.1</v>
      </c>
      <c r="E42" s="82">
        <f>'2016 год Приложение  5'!F55</f>
        <v>0</v>
      </c>
      <c r="F42" s="82">
        <f>'2016 год Приложение  5'!G55</f>
        <v>1266.1</v>
      </c>
      <c r="G42" s="30"/>
      <c r="H42" s="30"/>
      <c r="I42" s="30"/>
      <c r="J42" s="30"/>
      <c r="K42" s="3"/>
      <c r="L42" s="165"/>
    </row>
    <row r="43" spans="1:12" ht="31.5">
      <c r="A43" s="27" t="s">
        <v>401</v>
      </c>
      <c r="B43" s="169" t="s">
        <v>371</v>
      </c>
      <c r="C43" s="169"/>
      <c r="D43" s="82">
        <f>D45+D44</f>
        <v>3646.7</v>
      </c>
      <c r="E43" s="82">
        <f>E45+E44</f>
        <v>-899.1</v>
      </c>
      <c r="F43" s="82">
        <f>F45+F44</f>
        <v>2747.6</v>
      </c>
      <c r="G43" s="30"/>
      <c r="H43" s="30">
        <f>F35+F50</f>
        <v>8294.5</v>
      </c>
      <c r="I43" s="30"/>
      <c r="J43" s="30"/>
      <c r="K43" s="3"/>
      <c r="L43" s="165"/>
    </row>
    <row r="44" spans="1:12" ht="31.5">
      <c r="A44" s="86" t="s">
        <v>18</v>
      </c>
      <c r="B44" s="25" t="s">
        <v>410</v>
      </c>
      <c r="C44" s="25" t="s">
        <v>13</v>
      </c>
      <c r="D44" s="82">
        <f>'2016 год Приложение  5'!E57</f>
        <v>95</v>
      </c>
      <c r="E44" s="82">
        <f>'2016 год Приложение  5'!F57</f>
        <v>0</v>
      </c>
      <c r="F44" s="82">
        <f>D44+E44</f>
        <v>95</v>
      </c>
      <c r="G44" s="30"/>
      <c r="H44" s="30"/>
      <c r="I44" s="30"/>
      <c r="J44" s="30"/>
      <c r="K44" s="3"/>
      <c r="L44" s="165"/>
    </row>
    <row r="45" spans="1:12" ht="47.25">
      <c r="A45" s="172" t="s">
        <v>34</v>
      </c>
      <c r="B45" s="169" t="s">
        <v>371</v>
      </c>
      <c r="C45" s="169" t="s">
        <v>35</v>
      </c>
      <c r="D45" s="82">
        <f>'2016 год Приложение  5'!E58</f>
        <v>3551.7</v>
      </c>
      <c r="E45" s="82">
        <f>'2016 год Приложение  5'!F58</f>
        <v>-899.1</v>
      </c>
      <c r="F45" s="82">
        <f>'2016 год Приложение  5'!G58</f>
        <v>2652.6</v>
      </c>
      <c r="G45" s="30"/>
      <c r="H45" s="30">
        <f>F49+F44</f>
        <v>1079</v>
      </c>
      <c r="I45" s="30"/>
      <c r="J45" s="30"/>
      <c r="K45" s="3"/>
      <c r="L45" s="165"/>
    </row>
    <row r="46" spans="1:12" ht="31.5">
      <c r="A46" s="46" t="s">
        <v>389</v>
      </c>
      <c r="B46" s="25" t="s">
        <v>397</v>
      </c>
      <c r="C46" s="25"/>
      <c r="D46" s="24">
        <f>D47</f>
        <v>9934.1</v>
      </c>
      <c r="E46" s="24">
        <f>E47</f>
        <v>0</v>
      </c>
      <c r="F46" s="24">
        <f>F47</f>
        <v>9934.1</v>
      </c>
      <c r="G46" s="30"/>
      <c r="H46" s="30"/>
      <c r="I46" s="30"/>
      <c r="J46" s="30"/>
      <c r="K46" s="3"/>
      <c r="L46" s="165"/>
    </row>
    <row r="47" spans="1:12" ht="47.25">
      <c r="A47" s="26" t="s">
        <v>34</v>
      </c>
      <c r="B47" s="25" t="s">
        <v>397</v>
      </c>
      <c r="C47" s="48" t="s">
        <v>35</v>
      </c>
      <c r="D47" s="24">
        <f>'2016 год Приложение  5'!E60</f>
        <v>9934.1</v>
      </c>
      <c r="E47" s="24">
        <f>'2016 год Приложение  5'!F60</f>
        <v>0</v>
      </c>
      <c r="F47" s="24">
        <f>'2016 год Приложение  5'!G60</f>
        <v>9934.1</v>
      </c>
      <c r="G47" s="30"/>
      <c r="H47" s="30"/>
      <c r="I47" s="30"/>
      <c r="J47" s="30"/>
      <c r="K47" s="3"/>
      <c r="L47" s="165"/>
    </row>
    <row r="48" spans="1:12" ht="31.5">
      <c r="A48" s="46" t="s">
        <v>389</v>
      </c>
      <c r="B48" s="25" t="s">
        <v>340</v>
      </c>
      <c r="C48" s="25"/>
      <c r="D48" s="24">
        <f>D49</f>
        <v>984</v>
      </c>
      <c r="E48" s="24">
        <f>E49</f>
        <v>0</v>
      </c>
      <c r="F48" s="24">
        <f>F49</f>
        <v>984</v>
      </c>
      <c r="G48" s="30"/>
      <c r="H48" s="30"/>
      <c r="I48" s="30"/>
      <c r="J48" s="30"/>
      <c r="K48" s="3"/>
      <c r="L48" s="165"/>
    </row>
    <row r="49" spans="1:12" ht="47.25">
      <c r="A49" s="26" t="s">
        <v>34</v>
      </c>
      <c r="B49" s="25" t="s">
        <v>340</v>
      </c>
      <c r="C49" s="48" t="s">
        <v>35</v>
      </c>
      <c r="D49" s="24">
        <f>'2016 год Приложение  5'!E62</f>
        <v>984</v>
      </c>
      <c r="E49" s="24">
        <f>'2016 год Приложение  5'!F62</f>
        <v>0</v>
      </c>
      <c r="F49" s="24">
        <f>'2016 год Приложение  5'!G62</f>
        <v>984</v>
      </c>
      <c r="G49" s="30"/>
      <c r="H49" s="30"/>
      <c r="I49" s="30"/>
      <c r="J49" s="30"/>
      <c r="K49" s="3"/>
      <c r="L49" s="165"/>
    </row>
    <row r="50" spans="1:12" ht="31.5">
      <c r="A50" s="46" t="s">
        <v>389</v>
      </c>
      <c r="B50" s="25" t="s">
        <v>398</v>
      </c>
      <c r="C50" s="25"/>
      <c r="D50" s="24">
        <f>D51</f>
        <v>8856</v>
      </c>
      <c r="E50" s="24">
        <f>E51</f>
        <v>-1051.5</v>
      </c>
      <c r="F50" s="24">
        <f>F51</f>
        <v>7804.5</v>
      </c>
      <c r="G50" s="30"/>
      <c r="H50" s="30"/>
      <c r="I50" s="30"/>
      <c r="J50" s="30"/>
      <c r="K50" s="3"/>
      <c r="L50" s="165"/>
    </row>
    <row r="51" spans="1:12" ht="47.25">
      <c r="A51" s="26" t="s">
        <v>34</v>
      </c>
      <c r="B51" s="25" t="s">
        <v>398</v>
      </c>
      <c r="C51" s="48" t="s">
        <v>35</v>
      </c>
      <c r="D51" s="24">
        <f>'2016 год Приложение  5'!E64</f>
        <v>8856</v>
      </c>
      <c r="E51" s="24">
        <f>'2016 год Приложение  5'!F64</f>
        <v>-1051.5</v>
      </c>
      <c r="F51" s="24">
        <f>'2016 год Приложение  5'!G64</f>
        <v>7804.5</v>
      </c>
      <c r="G51" s="30"/>
      <c r="H51" s="30"/>
      <c r="I51" s="30"/>
      <c r="J51" s="30"/>
      <c r="K51" s="3"/>
      <c r="L51" s="165"/>
    </row>
    <row r="52" spans="1:12" ht="47.25">
      <c r="A52" s="34" t="s">
        <v>98</v>
      </c>
      <c r="B52" s="35" t="s">
        <v>306</v>
      </c>
      <c r="C52" s="35" t="s">
        <v>0</v>
      </c>
      <c r="D52" s="36">
        <f>D53+D72+D111+D87</f>
        <v>983109.1</v>
      </c>
      <c r="E52" s="36">
        <f>E53+E72+E111+E87</f>
        <v>822.9</v>
      </c>
      <c r="F52" s="36">
        <f>F53+F72+F111+F87</f>
        <v>983932</v>
      </c>
      <c r="G52" s="30"/>
      <c r="H52" s="30"/>
      <c r="I52" s="30"/>
      <c r="J52" s="30"/>
      <c r="K52" s="3"/>
      <c r="L52" s="165">
        <f>'2016 год Приложение  5'!G65+'2016 год Приложение  5'!G324</f>
        <v>983932</v>
      </c>
    </row>
    <row r="53" spans="1:12" ht="45.75" customHeight="1">
      <c r="A53" s="12" t="s">
        <v>114</v>
      </c>
      <c r="B53" s="13" t="s">
        <v>307</v>
      </c>
      <c r="C53" s="13" t="s">
        <v>0</v>
      </c>
      <c r="D53" s="14">
        <f>+D54+D60+D62+D64+D66+D68+D6+D524+D58+D70+D56</f>
        <v>48017.700000000004</v>
      </c>
      <c r="E53" s="14">
        <f>+E54+E60+E62+E64+E66+E68+E6+E524+E58+E70+E56</f>
        <v>848.7</v>
      </c>
      <c r="F53" s="14">
        <f>+F54+F60+F62+F64+F66+F68+F6+F524+F58+F70+F56</f>
        <v>48866.4</v>
      </c>
      <c r="G53" s="30"/>
      <c r="H53" s="30"/>
      <c r="I53" s="30"/>
      <c r="J53" s="30"/>
      <c r="K53" s="3"/>
      <c r="L53" s="165"/>
    </row>
    <row r="54" spans="1:12" ht="31.5">
      <c r="A54" s="16" t="s">
        <v>89</v>
      </c>
      <c r="B54" s="48" t="s">
        <v>308</v>
      </c>
      <c r="C54" s="9"/>
      <c r="D54" s="10">
        <f>D55</f>
        <v>9555.1</v>
      </c>
      <c r="E54" s="10">
        <f>E55</f>
        <v>0</v>
      </c>
      <c r="F54" s="10">
        <f>F55</f>
        <v>9555.1</v>
      </c>
      <c r="G54" s="30"/>
      <c r="H54" s="30"/>
      <c r="I54" s="30"/>
      <c r="J54" s="30"/>
      <c r="K54" s="3"/>
      <c r="L54" s="165"/>
    </row>
    <row r="55" spans="1:12" ht="31.5">
      <c r="A55" s="131" t="s">
        <v>18</v>
      </c>
      <c r="B55" s="48" t="s">
        <v>308</v>
      </c>
      <c r="C55" s="48" t="s">
        <v>13</v>
      </c>
      <c r="D55" s="24">
        <f>'2016 год Приложение  5'!E68</f>
        <v>9555.1</v>
      </c>
      <c r="E55" s="24">
        <f>'2016 год Приложение  5'!F68</f>
        <v>0</v>
      </c>
      <c r="F55" s="24">
        <f>'2016 год Приложение  5'!G68</f>
        <v>9555.1</v>
      </c>
      <c r="G55" s="30"/>
      <c r="H55" s="30"/>
      <c r="I55" s="30"/>
      <c r="J55" s="30"/>
      <c r="K55" s="3"/>
      <c r="L55" s="165"/>
    </row>
    <row r="56" spans="1:12" ht="31.5">
      <c r="A56" s="16" t="s">
        <v>99</v>
      </c>
      <c r="B56" s="48" t="s">
        <v>400</v>
      </c>
      <c r="C56" s="48"/>
      <c r="D56" s="24">
        <f>'2016 год Приложение  5'!E69</f>
        <v>1772.4</v>
      </c>
      <c r="E56" s="24">
        <f>'2016 год Приложение  5'!F69</f>
        <v>0</v>
      </c>
      <c r="F56" s="24">
        <f>'2016 год Приложение  5'!G69</f>
        <v>1772.4</v>
      </c>
      <c r="G56" s="30"/>
      <c r="H56" s="30"/>
      <c r="I56" s="30"/>
      <c r="J56" s="30"/>
      <c r="K56" s="3"/>
      <c r="L56" s="165"/>
    </row>
    <row r="57" spans="1:12" ht="15.75">
      <c r="A57" s="131" t="s">
        <v>14</v>
      </c>
      <c r="B57" s="48" t="s">
        <v>400</v>
      </c>
      <c r="C57" s="48" t="s">
        <v>17</v>
      </c>
      <c r="D57" s="24">
        <f>'2016 год Приложение  5'!E70</f>
        <v>1772.4</v>
      </c>
      <c r="E57" s="24">
        <f>'2016 год Приложение  5'!F70</f>
        <v>0</v>
      </c>
      <c r="F57" s="24">
        <f>'2016 год Приложение  5'!G70</f>
        <v>1772.4</v>
      </c>
      <c r="G57" s="30"/>
      <c r="H57" s="30"/>
      <c r="I57" s="30"/>
      <c r="J57" s="30"/>
      <c r="K57" s="3"/>
      <c r="L57" s="165"/>
    </row>
    <row r="58" spans="1:12" ht="31.5">
      <c r="A58" s="16" t="s">
        <v>99</v>
      </c>
      <c r="B58" s="48" t="s">
        <v>378</v>
      </c>
      <c r="C58" s="48"/>
      <c r="D58" s="24">
        <f>'2016 год Приложение  5'!E71</f>
        <v>1922.9</v>
      </c>
      <c r="E58" s="24">
        <f>'2016 год Приложение  5'!F71</f>
        <v>0</v>
      </c>
      <c r="F58" s="24">
        <f>'2016 год Приложение  5'!G71</f>
        <v>1922.9</v>
      </c>
      <c r="G58" s="30"/>
      <c r="H58" s="30"/>
      <c r="I58" s="30"/>
      <c r="J58" s="30"/>
      <c r="K58" s="3"/>
      <c r="L58" s="165"/>
    </row>
    <row r="59" spans="1:12" ht="15.75">
      <c r="A59" s="131" t="s">
        <v>14</v>
      </c>
      <c r="B59" s="48" t="s">
        <v>378</v>
      </c>
      <c r="C59" s="48" t="s">
        <v>17</v>
      </c>
      <c r="D59" s="24">
        <f>'2016 год Приложение  5'!E72</f>
        <v>1922.9</v>
      </c>
      <c r="E59" s="24">
        <f>'2016 год Приложение  5'!F72</f>
        <v>0</v>
      </c>
      <c r="F59" s="24">
        <f>'2016 год Приложение  5'!G72</f>
        <v>1922.9</v>
      </c>
      <c r="G59" s="30"/>
      <c r="H59" s="30"/>
      <c r="I59" s="30"/>
      <c r="J59" s="30"/>
      <c r="K59" s="3"/>
      <c r="L59" s="165"/>
    </row>
    <row r="60" spans="1:12" ht="31.5">
      <c r="A60" s="65" t="s">
        <v>99</v>
      </c>
      <c r="B60" s="48" t="s">
        <v>346</v>
      </c>
      <c r="C60" s="48"/>
      <c r="D60" s="49">
        <f>D61</f>
        <v>2039</v>
      </c>
      <c r="E60" s="49">
        <f>E61</f>
        <v>0</v>
      </c>
      <c r="F60" s="49">
        <f>F61</f>
        <v>2039</v>
      </c>
      <c r="G60" s="30">
        <f>F60+F54</f>
        <v>11594.1</v>
      </c>
      <c r="H60" s="30"/>
      <c r="I60" s="30"/>
      <c r="J60" s="30"/>
      <c r="K60" s="3"/>
      <c r="L60" s="165"/>
    </row>
    <row r="61" spans="1:12" ht="15.75">
      <c r="A61" s="51" t="s">
        <v>14</v>
      </c>
      <c r="B61" s="48" t="s">
        <v>346</v>
      </c>
      <c r="C61" s="48" t="s">
        <v>17</v>
      </c>
      <c r="D61" s="24">
        <f>'2016 год Приложение  5'!E74</f>
        <v>2039</v>
      </c>
      <c r="E61" s="24">
        <f>'2016 год Приложение  5'!F74</f>
        <v>0</v>
      </c>
      <c r="F61" s="24">
        <f>'2016 год Приложение  5'!G74</f>
        <v>2039</v>
      </c>
      <c r="G61" s="30"/>
      <c r="H61" s="30"/>
      <c r="I61" s="30"/>
      <c r="J61" s="30"/>
      <c r="K61" s="3"/>
      <c r="L61" s="165"/>
    </row>
    <row r="62" spans="1:12" ht="47.25">
      <c r="A62" s="16" t="s">
        <v>90</v>
      </c>
      <c r="B62" s="48" t="s">
        <v>309</v>
      </c>
      <c r="C62" s="11"/>
      <c r="D62" s="10">
        <f>D63</f>
        <v>150</v>
      </c>
      <c r="E62" s="10">
        <f>E63</f>
        <v>0</v>
      </c>
      <c r="F62" s="10">
        <f>F63</f>
        <v>150</v>
      </c>
      <c r="G62" s="30"/>
      <c r="H62" s="30"/>
      <c r="I62" s="30"/>
      <c r="J62" s="30"/>
      <c r="K62" s="3"/>
      <c r="L62" s="165"/>
    </row>
    <row r="63" spans="1:12" ht="31.5">
      <c r="A63" s="86" t="s">
        <v>18</v>
      </c>
      <c r="B63" s="48" t="s">
        <v>309</v>
      </c>
      <c r="C63" s="48" t="s">
        <v>13</v>
      </c>
      <c r="D63" s="24">
        <f>'2016 год Приложение  5'!E76</f>
        <v>150</v>
      </c>
      <c r="E63" s="24">
        <f>'2016 год Приложение  5'!F76</f>
        <v>0</v>
      </c>
      <c r="F63" s="24">
        <f>'2016 год Приложение  5'!G76</f>
        <v>150</v>
      </c>
      <c r="G63" s="30"/>
      <c r="H63" s="30"/>
      <c r="I63" s="30"/>
      <c r="J63" s="30"/>
      <c r="K63" s="3"/>
      <c r="L63" s="165"/>
    </row>
    <row r="64" spans="1:12" ht="31.5">
      <c r="A64" s="20" t="s">
        <v>67</v>
      </c>
      <c r="B64" s="48" t="s">
        <v>310</v>
      </c>
      <c r="C64" s="11"/>
      <c r="D64" s="10">
        <f>D65</f>
        <v>29366.6</v>
      </c>
      <c r="E64" s="10">
        <f>E65</f>
        <v>0</v>
      </c>
      <c r="F64" s="10">
        <f>F65</f>
        <v>29366.6</v>
      </c>
      <c r="G64" s="30"/>
      <c r="H64" s="30"/>
      <c r="I64" s="30"/>
      <c r="J64" s="30"/>
      <c r="K64" s="3"/>
      <c r="L64" s="165"/>
    </row>
    <row r="65" spans="1:12" ht="31.5">
      <c r="A65" s="86" t="s">
        <v>18</v>
      </c>
      <c r="B65" s="48" t="s">
        <v>310</v>
      </c>
      <c r="C65" s="48" t="s">
        <v>13</v>
      </c>
      <c r="D65" s="24">
        <f>'2016 год Приложение  5'!E78</f>
        <v>29366.6</v>
      </c>
      <c r="E65" s="24">
        <f>'2016 год Приложение  5'!F78</f>
        <v>0</v>
      </c>
      <c r="F65" s="24">
        <f>'2016 год Приложение  5'!G78</f>
        <v>29366.6</v>
      </c>
      <c r="G65" s="30"/>
      <c r="H65" s="30"/>
      <c r="I65" s="30"/>
      <c r="J65" s="30"/>
      <c r="K65" s="3"/>
      <c r="L65" s="165"/>
    </row>
    <row r="66" spans="1:12" ht="31.5">
      <c r="A66" s="16" t="s">
        <v>103</v>
      </c>
      <c r="B66" s="48" t="s">
        <v>320</v>
      </c>
      <c r="C66" s="11"/>
      <c r="D66" s="24">
        <f>D67</f>
        <v>500</v>
      </c>
      <c r="E66" s="24">
        <f>E67</f>
        <v>0</v>
      </c>
      <c r="F66" s="24">
        <f>F67</f>
        <v>500</v>
      </c>
      <c r="G66" s="30"/>
      <c r="H66" s="30"/>
      <c r="I66" s="30"/>
      <c r="J66" s="30"/>
      <c r="K66" s="3"/>
      <c r="L66" s="165"/>
    </row>
    <row r="67" spans="1:12" ht="31.5">
      <c r="A67" s="86" t="s">
        <v>18</v>
      </c>
      <c r="B67" s="48" t="s">
        <v>320</v>
      </c>
      <c r="C67" s="48" t="s">
        <v>13</v>
      </c>
      <c r="D67" s="24">
        <f>'2016 год Приложение  5'!E327</f>
        <v>500</v>
      </c>
      <c r="E67" s="24">
        <f>'2016 год Приложение  5'!F327</f>
        <v>0</v>
      </c>
      <c r="F67" s="24">
        <f>'2016 год Приложение  5'!G327</f>
        <v>500</v>
      </c>
      <c r="G67" s="30"/>
      <c r="H67" s="30"/>
      <c r="I67" s="30"/>
      <c r="J67" s="30"/>
      <c r="K67" s="3"/>
      <c r="L67" s="165"/>
    </row>
    <row r="68" spans="1:12" ht="78.75">
      <c r="A68" s="46" t="s">
        <v>379</v>
      </c>
      <c r="B68" s="48" t="s">
        <v>322</v>
      </c>
      <c r="C68" s="71"/>
      <c r="D68" s="24">
        <f>D69</f>
        <v>585.3000000000001</v>
      </c>
      <c r="E68" s="24">
        <f>E69</f>
        <v>0</v>
      </c>
      <c r="F68" s="24">
        <f>F69</f>
        <v>585.3000000000001</v>
      </c>
      <c r="G68" s="30"/>
      <c r="H68" s="30"/>
      <c r="I68" s="30"/>
      <c r="J68" s="30"/>
      <c r="K68" s="3"/>
      <c r="L68" s="165"/>
    </row>
    <row r="69" spans="1:12" ht="31.5">
      <c r="A69" s="51" t="s">
        <v>18</v>
      </c>
      <c r="B69" s="48" t="s">
        <v>322</v>
      </c>
      <c r="C69" s="48" t="s">
        <v>13</v>
      </c>
      <c r="D69" s="24">
        <f>'2016 год Приложение  5'!E80</f>
        <v>585.3000000000001</v>
      </c>
      <c r="E69" s="24">
        <f>'2016 год Приложение  5'!F80</f>
        <v>0</v>
      </c>
      <c r="F69" s="24">
        <f>'2016 год Приложение  5'!G80</f>
        <v>585.3000000000001</v>
      </c>
      <c r="G69" s="30"/>
      <c r="H69" s="30"/>
      <c r="I69" s="30"/>
      <c r="J69" s="30"/>
      <c r="K69" s="3"/>
      <c r="L69" s="165"/>
    </row>
    <row r="70" spans="1:12" ht="63">
      <c r="A70" s="46" t="s">
        <v>109</v>
      </c>
      <c r="B70" s="48" t="s">
        <v>321</v>
      </c>
      <c r="C70" s="71"/>
      <c r="D70" s="24">
        <f>D71</f>
        <v>2126.4</v>
      </c>
      <c r="E70" s="24">
        <f>E71</f>
        <v>848.7</v>
      </c>
      <c r="F70" s="24">
        <f>F71</f>
        <v>2975.1000000000004</v>
      </c>
      <c r="G70" s="30"/>
      <c r="H70" s="30"/>
      <c r="I70" s="30"/>
      <c r="J70" s="30"/>
      <c r="K70" s="3"/>
      <c r="L70" s="165"/>
    </row>
    <row r="71" spans="1:12" ht="15.75">
      <c r="A71" s="131" t="s">
        <v>14</v>
      </c>
      <c r="B71" s="48" t="s">
        <v>321</v>
      </c>
      <c r="C71" s="48" t="s">
        <v>17</v>
      </c>
      <c r="D71" s="24">
        <f>'2016 год Приложение  5'!E82</f>
        <v>2126.4</v>
      </c>
      <c r="E71" s="24">
        <f>'2016 год Приложение  5'!F82</f>
        <v>848.7</v>
      </c>
      <c r="F71" s="24">
        <f>'2016 год Приложение  5'!G82</f>
        <v>2975.1000000000004</v>
      </c>
      <c r="G71" s="30"/>
      <c r="H71" s="30"/>
      <c r="I71" s="30"/>
      <c r="J71" s="30"/>
      <c r="K71" s="3"/>
      <c r="L71" s="165"/>
    </row>
    <row r="72" spans="1:12" ht="47.25">
      <c r="A72" s="12" t="s">
        <v>112</v>
      </c>
      <c r="B72" s="13" t="s">
        <v>311</v>
      </c>
      <c r="C72" s="13" t="s">
        <v>0</v>
      </c>
      <c r="D72" s="14">
        <f>D83+D80+D77+D73+D75</f>
        <v>882679.2000000001</v>
      </c>
      <c r="E72" s="14">
        <f>E83+E80+E77+E73+E75</f>
        <v>568.8</v>
      </c>
      <c r="F72" s="14">
        <f>F83+F80+F77+F73+F75</f>
        <v>883248</v>
      </c>
      <c r="G72" s="153"/>
      <c r="H72" s="30"/>
      <c r="I72" s="30"/>
      <c r="J72" s="30"/>
      <c r="K72" s="3"/>
      <c r="L72" s="165"/>
    </row>
    <row r="73" spans="1:12" ht="63">
      <c r="A73" s="174" t="s">
        <v>377</v>
      </c>
      <c r="B73" s="25" t="s">
        <v>376</v>
      </c>
      <c r="C73" s="25"/>
      <c r="D73" s="82">
        <f>'2016 год Приложение  5'!E84</f>
        <v>7214.8</v>
      </c>
      <c r="E73" s="82">
        <f>'2016 год Приложение  5'!F84</f>
        <v>0</v>
      </c>
      <c r="F73" s="82">
        <f>'2016 год Приложение  5'!G84</f>
        <v>7214.8</v>
      </c>
      <c r="G73" s="153"/>
      <c r="H73" s="30"/>
      <c r="I73" s="30"/>
      <c r="J73" s="30"/>
      <c r="K73" s="3"/>
      <c r="L73" s="165"/>
    </row>
    <row r="74" spans="1:12" ht="47.25">
      <c r="A74" s="26" t="s">
        <v>40</v>
      </c>
      <c r="B74" s="25" t="s">
        <v>376</v>
      </c>
      <c r="C74" s="25" t="s">
        <v>35</v>
      </c>
      <c r="D74" s="82">
        <f>'2016 год Приложение  5'!E85</f>
        <v>7214.8</v>
      </c>
      <c r="E74" s="82">
        <f>'2016 год Приложение  5'!F85</f>
        <v>0</v>
      </c>
      <c r="F74" s="82">
        <f>'2016 год Приложение  5'!G85</f>
        <v>7214.8</v>
      </c>
      <c r="G74" s="153"/>
      <c r="H74" s="30"/>
      <c r="I74" s="30"/>
      <c r="J74" s="30"/>
      <c r="K74" s="3"/>
      <c r="L74" s="165"/>
    </row>
    <row r="75" spans="1:12" ht="31.5">
      <c r="A75" s="157" t="s">
        <v>416</v>
      </c>
      <c r="B75" s="25" t="s">
        <v>417</v>
      </c>
      <c r="C75" s="25"/>
      <c r="D75" s="82">
        <f>'2016 год Приложение  5'!E86</f>
        <v>2251.8</v>
      </c>
      <c r="E75" s="82">
        <f>'2016 год Приложение  5'!F86</f>
        <v>29</v>
      </c>
      <c r="F75" s="82">
        <f>'2016 год Приложение  5'!G86</f>
        <v>2280.8</v>
      </c>
      <c r="G75" s="153"/>
      <c r="H75" s="30"/>
      <c r="I75" s="30"/>
      <c r="J75" s="30"/>
      <c r="K75" s="3"/>
      <c r="L75" s="165"/>
    </row>
    <row r="76" spans="1:12" ht="31.5">
      <c r="A76" s="26" t="s">
        <v>18</v>
      </c>
      <c r="B76" s="25" t="s">
        <v>417</v>
      </c>
      <c r="C76" s="25" t="s">
        <v>13</v>
      </c>
      <c r="D76" s="82">
        <f>'2016 год Приложение  5'!E87</f>
        <v>2251.8</v>
      </c>
      <c r="E76" s="82">
        <f>'2016 год Приложение  5'!F87</f>
        <v>29</v>
      </c>
      <c r="F76" s="82">
        <f>'2016 год Приложение  5'!G87</f>
        <v>2280.8</v>
      </c>
      <c r="G76" s="153"/>
      <c r="H76" s="30"/>
      <c r="I76" s="30"/>
      <c r="J76" s="30"/>
      <c r="K76" s="3"/>
      <c r="L76" s="165"/>
    </row>
    <row r="77" spans="1:12" ht="78.75">
      <c r="A77" s="157" t="s">
        <v>350</v>
      </c>
      <c r="B77" s="48" t="s">
        <v>351</v>
      </c>
      <c r="C77" s="48"/>
      <c r="D77" s="82">
        <f>D79+D78</f>
        <v>413020.19999999995</v>
      </c>
      <c r="E77" s="82">
        <f>E79+E78</f>
        <v>0</v>
      </c>
      <c r="F77" s="82">
        <f>F79+F78</f>
        <v>413020.19999999995</v>
      </c>
      <c r="G77" s="153"/>
      <c r="H77" s="30"/>
      <c r="I77" s="30"/>
      <c r="J77" s="30"/>
      <c r="K77" s="3"/>
      <c r="L77" s="165"/>
    </row>
    <row r="78" spans="1:12" ht="47.25">
      <c r="A78" s="26" t="s">
        <v>40</v>
      </c>
      <c r="B78" s="48" t="s">
        <v>351</v>
      </c>
      <c r="C78" s="48" t="s">
        <v>35</v>
      </c>
      <c r="D78" s="82">
        <f>'2016 год Приложение  5'!E89</f>
        <v>92191.99999999997</v>
      </c>
      <c r="E78" s="22">
        <f>'2016 год Приложение  5'!F89</f>
        <v>0</v>
      </c>
      <c r="F78" s="82">
        <f>'2016 год Приложение  5'!G89</f>
        <v>92191.99999999997</v>
      </c>
      <c r="G78" s="153"/>
      <c r="H78" s="30">
        <f>F77+F80+F83</f>
        <v>873752.3999999999</v>
      </c>
      <c r="I78" s="30"/>
      <c r="J78" s="30"/>
      <c r="K78" s="3"/>
      <c r="L78" s="165"/>
    </row>
    <row r="79" spans="1:12" ht="15.75">
      <c r="A79" s="26" t="s">
        <v>14</v>
      </c>
      <c r="B79" s="48" t="s">
        <v>351</v>
      </c>
      <c r="C79" s="48" t="s">
        <v>17</v>
      </c>
      <c r="D79" s="82">
        <f>'2016 год Приложение  5'!E330+'2016 год Приложение  5'!E90</f>
        <v>320828.19999999995</v>
      </c>
      <c r="E79" s="82">
        <f>'2016 год Приложение  5'!F330+'2016 год Приложение  5'!F90</f>
        <v>0</v>
      </c>
      <c r="F79" s="82">
        <f>'2016 год Приложение  5'!G330+'2016 год Приложение  5'!G90</f>
        <v>320828.19999999995</v>
      </c>
      <c r="G79" s="153"/>
      <c r="H79" s="30"/>
      <c r="I79" s="30"/>
      <c r="J79" s="30"/>
      <c r="K79" s="3"/>
      <c r="L79" s="165"/>
    </row>
    <row r="80" spans="1:12" ht="78.75">
      <c r="A80" s="65" t="s">
        <v>352</v>
      </c>
      <c r="B80" s="48" t="s">
        <v>328</v>
      </c>
      <c r="C80" s="48"/>
      <c r="D80" s="82">
        <f>D82+D81</f>
        <v>234514</v>
      </c>
      <c r="E80" s="82">
        <f>E82+E81</f>
        <v>0</v>
      </c>
      <c r="F80" s="82">
        <f>F82+F81</f>
        <v>234514</v>
      </c>
      <c r="G80" s="153"/>
      <c r="H80" s="30">
        <f>F80+F77</f>
        <v>647534.2</v>
      </c>
      <c r="I80" s="30"/>
      <c r="J80" s="30"/>
      <c r="K80" s="3"/>
      <c r="L80" s="165"/>
    </row>
    <row r="81" spans="1:12" ht="47.25">
      <c r="A81" s="26" t="s">
        <v>40</v>
      </c>
      <c r="B81" s="48" t="s">
        <v>328</v>
      </c>
      <c r="C81" s="48" t="s">
        <v>35</v>
      </c>
      <c r="D81" s="82">
        <f>'2016 год Приложение  5'!E92</f>
        <v>97560.8</v>
      </c>
      <c r="E81" s="82">
        <f>'2016 год Приложение  5'!F92</f>
        <v>0</v>
      </c>
      <c r="F81" s="82">
        <f>'2016 год Приложение  5'!G92</f>
        <v>97560.8</v>
      </c>
      <c r="G81" s="153"/>
      <c r="H81" s="30"/>
      <c r="I81" s="30"/>
      <c r="J81" s="30"/>
      <c r="K81" s="3"/>
      <c r="L81" s="165"/>
    </row>
    <row r="82" spans="1:12" ht="15.75">
      <c r="A82" s="65" t="s">
        <v>14</v>
      </c>
      <c r="B82" s="48" t="s">
        <v>328</v>
      </c>
      <c r="C82" s="48" t="s">
        <v>17</v>
      </c>
      <c r="D82" s="82">
        <f>'2016 год Приложение  5'!E332+'2016 год Приложение  5'!E93</f>
        <v>136953.19999999998</v>
      </c>
      <c r="E82" s="82">
        <f>'2016 год Приложение  5'!F332+'2016 год Приложение  5'!F93</f>
        <v>0</v>
      </c>
      <c r="F82" s="82">
        <f>'2016 год Приложение  5'!G332+'2016 год Приложение  5'!G93</f>
        <v>136953.19999999998</v>
      </c>
      <c r="G82" s="153"/>
      <c r="H82" s="30"/>
      <c r="I82" s="30"/>
      <c r="J82" s="30"/>
      <c r="K82" s="3"/>
      <c r="L82" s="165"/>
    </row>
    <row r="83" spans="1:12" ht="78.75">
      <c r="A83" s="26" t="s">
        <v>327</v>
      </c>
      <c r="B83" s="48" t="s">
        <v>345</v>
      </c>
      <c r="C83" s="48"/>
      <c r="D83" s="49">
        <f>D84+D86+D85</f>
        <v>225678.40000000002</v>
      </c>
      <c r="E83" s="49">
        <f>E84+E86+E85</f>
        <v>539.8</v>
      </c>
      <c r="F83" s="49">
        <f>F84+F86+F85</f>
        <v>226218.2</v>
      </c>
      <c r="G83" s="30"/>
      <c r="H83" s="30"/>
      <c r="I83" s="30"/>
      <c r="J83" s="30"/>
      <c r="K83" s="3"/>
      <c r="L83" s="165"/>
    </row>
    <row r="84" spans="1:12" ht="31.5">
      <c r="A84" s="26" t="s">
        <v>18</v>
      </c>
      <c r="B84" s="48" t="s">
        <v>345</v>
      </c>
      <c r="C84" s="48" t="s">
        <v>13</v>
      </c>
      <c r="D84" s="24">
        <f>'2016 год Приложение  5'!E334</f>
        <v>433</v>
      </c>
      <c r="E84" s="24">
        <f>'2016 год Приложение  5'!F334</f>
        <v>0</v>
      </c>
      <c r="F84" s="24">
        <f>'2016 год Приложение  5'!G334</f>
        <v>433</v>
      </c>
      <c r="G84" s="30"/>
      <c r="H84" s="30"/>
      <c r="I84" s="30"/>
      <c r="J84" s="30"/>
      <c r="K84" s="3"/>
      <c r="L84" s="165"/>
    </row>
    <row r="85" spans="1:12" ht="47.25">
      <c r="A85" s="26" t="s">
        <v>40</v>
      </c>
      <c r="B85" s="48" t="s">
        <v>345</v>
      </c>
      <c r="C85" s="48" t="s">
        <v>35</v>
      </c>
      <c r="D85" s="24">
        <f>'2016 год Приложение  5'!E95</f>
        <v>186405.30000000002</v>
      </c>
      <c r="E85" s="24">
        <f>'2016 год Приложение  5'!F95</f>
        <v>539.8</v>
      </c>
      <c r="F85" s="24">
        <f>'2016 год Приложение  5'!G95</f>
        <v>186945.1</v>
      </c>
      <c r="G85" s="30"/>
      <c r="H85" s="30"/>
      <c r="I85" s="30"/>
      <c r="J85" s="30"/>
      <c r="K85" s="3"/>
      <c r="L85" s="165"/>
    </row>
    <row r="86" spans="1:12" ht="15.75">
      <c r="A86" s="26" t="s">
        <v>14</v>
      </c>
      <c r="B86" s="48" t="s">
        <v>345</v>
      </c>
      <c r="C86" s="48" t="s">
        <v>17</v>
      </c>
      <c r="D86" s="24">
        <f>'2016 год Приложение  5'!E335+'2016 год Приложение  5'!E96</f>
        <v>38840.1</v>
      </c>
      <c r="E86" s="24">
        <f>'2016 год Приложение  5'!F335+'2016 год Приложение  5'!F96</f>
        <v>0</v>
      </c>
      <c r="F86" s="24">
        <f>'2016 год Приложение  5'!G335+'2016 год Приложение  5'!G96</f>
        <v>38840.1</v>
      </c>
      <c r="G86" s="30"/>
      <c r="H86" s="30"/>
      <c r="I86" s="30"/>
      <c r="J86" s="30"/>
      <c r="K86" s="3"/>
      <c r="L86" s="165"/>
    </row>
    <row r="87" spans="1:12" ht="15.75">
      <c r="A87" s="12" t="s">
        <v>91</v>
      </c>
      <c r="B87" s="13" t="s">
        <v>312</v>
      </c>
      <c r="C87" s="13" t="s">
        <v>0</v>
      </c>
      <c r="D87" s="14">
        <f>D88+D92+D96+D98+D103+D109+D94+D90+D107+D101+D105</f>
        <v>51935</v>
      </c>
      <c r="E87" s="14">
        <f>E88+E92+E96+E98+E103+E109+E94+E90+E107+E101+E105</f>
        <v>-594.6</v>
      </c>
      <c r="F87" s="14">
        <f>F88+F92+F96+F98+F103+F109+F94+F90+F107+F101+F105</f>
        <v>51340.399999999994</v>
      </c>
      <c r="G87" s="153"/>
      <c r="H87" s="30"/>
      <c r="I87" s="30"/>
      <c r="J87" s="30"/>
      <c r="K87" s="3"/>
      <c r="L87" s="165"/>
    </row>
    <row r="88" spans="1:12" ht="47.25">
      <c r="A88" s="16" t="s">
        <v>54</v>
      </c>
      <c r="B88" s="17" t="s">
        <v>313</v>
      </c>
      <c r="C88" s="72"/>
      <c r="D88" s="49">
        <f>D89</f>
        <v>939.8999999999999</v>
      </c>
      <c r="E88" s="49">
        <f>E89</f>
        <v>100</v>
      </c>
      <c r="F88" s="49">
        <f>F89</f>
        <v>1039.8999999999999</v>
      </c>
      <c r="G88" s="153"/>
      <c r="H88" s="30"/>
      <c r="I88" s="30"/>
      <c r="J88" s="30"/>
      <c r="K88" s="3"/>
      <c r="L88" s="165"/>
    </row>
    <row r="89" spans="1:12" ht="31.5">
      <c r="A89" s="86" t="s">
        <v>18</v>
      </c>
      <c r="B89" s="17" t="s">
        <v>313</v>
      </c>
      <c r="C89" s="48" t="s">
        <v>13</v>
      </c>
      <c r="D89" s="24">
        <f>'2016 год Приложение  5'!E99</f>
        <v>939.8999999999999</v>
      </c>
      <c r="E89" s="24">
        <f>'2016 год Приложение  5'!F99</f>
        <v>100</v>
      </c>
      <c r="F89" s="24">
        <f>'2016 год Приложение  5'!G99</f>
        <v>1039.8999999999999</v>
      </c>
      <c r="G89" s="153"/>
      <c r="H89" s="30"/>
      <c r="I89" s="30"/>
      <c r="J89" s="30"/>
      <c r="K89" s="3"/>
      <c r="L89" s="165"/>
    </row>
    <row r="90" spans="1:12" ht="47.25">
      <c r="A90" s="16" t="s">
        <v>54</v>
      </c>
      <c r="B90" s="17" t="s">
        <v>324</v>
      </c>
      <c r="C90" s="17"/>
      <c r="D90" s="24">
        <f>D91</f>
        <v>3273.4</v>
      </c>
      <c r="E90" s="24">
        <f>E91</f>
        <v>0</v>
      </c>
      <c r="F90" s="24">
        <f>F91</f>
        <v>3273.4</v>
      </c>
      <c r="G90" s="153"/>
      <c r="H90" s="30"/>
      <c r="I90" s="30"/>
      <c r="J90" s="30"/>
      <c r="K90" s="3"/>
      <c r="L90" s="165"/>
    </row>
    <row r="91" spans="1:12" ht="31.5">
      <c r="A91" s="16" t="s">
        <v>18</v>
      </c>
      <c r="B91" s="17" t="s">
        <v>324</v>
      </c>
      <c r="C91" s="17" t="s">
        <v>13</v>
      </c>
      <c r="D91" s="24">
        <f>'2016 год Приложение  5'!E101</f>
        <v>3273.4</v>
      </c>
      <c r="E91" s="24">
        <f>'2016 год Приложение  5'!F101</f>
        <v>0</v>
      </c>
      <c r="F91" s="24">
        <f>'2016 год Приложение  5'!G101</f>
        <v>3273.4</v>
      </c>
      <c r="G91" s="153">
        <f>SUM(G92,F90)</f>
        <v>4803.9</v>
      </c>
      <c r="H91" s="30"/>
      <c r="I91" s="30"/>
      <c r="J91" s="30"/>
      <c r="K91" s="3"/>
      <c r="L91" s="165"/>
    </row>
    <row r="92" spans="1:12" ht="47.25">
      <c r="A92" s="16" t="s">
        <v>54</v>
      </c>
      <c r="B92" s="17" t="s">
        <v>336</v>
      </c>
      <c r="C92" s="17"/>
      <c r="D92" s="19">
        <f>D93</f>
        <v>490.6</v>
      </c>
      <c r="E92" s="19">
        <f>E93</f>
        <v>0</v>
      </c>
      <c r="F92" s="19">
        <f>F93</f>
        <v>490.6</v>
      </c>
      <c r="G92" s="30">
        <f>F92+F89</f>
        <v>1530.5</v>
      </c>
      <c r="H92" s="30"/>
      <c r="I92" s="30"/>
      <c r="J92" s="30"/>
      <c r="K92" s="3"/>
      <c r="L92" s="165"/>
    </row>
    <row r="93" spans="1:12" ht="31.5">
      <c r="A93" s="86" t="s">
        <v>18</v>
      </c>
      <c r="B93" s="17" t="s">
        <v>336</v>
      </c>
      <c r="C93" s="48" t="s">
        <v>13</v>
      </c>
      <c r="D93" s="24">
        <f>'2016 год Приложение  5'!E103</f>
        <v>490.6</v>
      </c>
      <c r="E93" s="24">
        <f>'2016 год Приложение  5'!F103</f>
        <v>0</v>
      </c>
      <c r="F93" s="24">
        <f>'2016 год Приложение  5'!G103</f>
        <v>490.6</v>
      </c>
      <c r="G93" s="30"/>
      <c r="H93" s="30"/>
      <c r="I93" s="30"/>
      <c r="J93" s="30"/>
      <c r="K93" s="3"/>
      <c r="L93" s="165"/>
    </row>
    <row r="94" spans="1:12" ht="31.5">
      <c r="A94" s="46" t="s">
        <v>55</v>
      </c>
      <c r="B94" s="25" t="s">
        <v>314</v>
      </c>
      <c r="C94" s="25"/>
      <c r="D94" s="24">
        <f>D95</f>
        <v>221.6</v>
      </c>
      <c r="E94" s="24">
        <f>E95</f>
        <v>0</v>
      </c>
      <c r="F94" s="24">
        <f>F95</f>
        <v>221.6</v>
      </c>
      <c r="G94" s="30"/>
      <c r="H94" s="30"/>
      <c r="I94" s="30"/>
      <c r="J94" s="30"/>
      <c r="K94" s="3"/>
      <c r="L94" s="165"/>
    </row>
    <row r="95" spans="1:12" ht="31.5">
      <c r="A95" s="86" t="s">
        <v>18</v>
      </c>
      <c r="B95" s="25" t="s">
        <v>314</v>
      </c>
      <c r="C95" s="25" t="s">
        <v>13</v>
      </c>
      <c r="D95" s="24">
        <f>'2016 год Приложение  5'!E105</f>
        <v>221.6</v>
      </c>
      <c r="E95" s="24">
        <f>'2016 год Приложение  5'!F105</f>
        <v>0</v>
      </c>
      <c r="F95" s="24">
        <f>'2016 год Приложение  5'!G105</f>
        <v>221.6</v>
      </c>
      <c r="G95" s="30">
        <f>D95+D96+D98</f>
        <v>14839.599999999999</v>
      </c>
      <c r="H95" s="30"/>
      <c r="I95" s="30"/>
      <c r="J95" s="30"/>
      <c r="K95" s="3"/>
      <c r="L95" s="165"/>
    </row>
    <row r="96" spans="1:12" ht="31.5">
      <c r="A96" s="46" t="s">
        <v>55</v>
      </c>
      <c r="B96" s="17" t="s">
        <v>337</v>
      </c>
      <c r="C96" s="48"/>
      <c r="D96" s="49">
        <f>D97</f>
        <v>246.79999999999998</v>
      </c>
      <c r="E96" s="49">
        <f>E97</f>
        <v>0</v>
      </c>
      <c r="F96" s="49">
        <f>F97</f>
        <v>246.79999999999998</v>
      </c>
      <c r="G96" s="30">
        <f>F96+F94</f>
        <v>468.4</v>
      </c>
      <c r="H96" s="30"/>
      <c r="I96" s="30"/>
      <c r="J96" s="30"/>
      <c r="K96" s="3"/>
      <c r="L96" s="165"/>
    </row>
    <row r="97" spans="1:12" ht="31.5">
      <c r="A97" s="86" t="s">
        <v>18</v>
      </c>
      <c r="B97" s="17" t="s">
        <v>337</v>
      </c>
      <c r="C97" s="48" t="s">
        <v>13</v>
      </c>
      <c r="D97" s="24">
        <f>'2016 год Приложение  5'!E107</f>
        <v>246.79999999999998</v>
      </c>
      <c r="E97" s="24">
        <f>'2016 год Приложение  5'!F107</f>
        <v>0</v>
      </c>
      <c r="F97" s="24">
        <f>'2016 год Приложение  5'!G107</f>
        <v>246.79999999999998</v>
      </c>
      <c r="G97" s="30"/>
      <c r="H97" s="30"/>
      <c r="I97" s="30"/>
      <c r="J97" s="30"/>
      <c r="K97" s="3"/>
      <c r="L97" s="165"/>
    </row>
    <row r="98" spans="1:12" ht="31.5">
      <c r="A98" s="47" t="s">
        <v>55</v>
      </c>
      <c r="B98" s="48" t="s">
        <v>323</v>
      </c>
      <c r="C98" s="32"/>
      <c r="D98" s="73">
        <f>D99+D100</f>
        <v>14371.199999999999</v>
      </c>
      <c r="E98" s="73">
        <f>E99+E100</f>
        <v>0</v>
      </c>
      <c r="F98" s="73">
        <f>F99+F100</f>
        <v>14371.199999999999</v>
      </c>
      <c r="G98" s="30"/>
      <c r="H98" s="30"/>
      <c r="I98" s="30"/>
      <c r="J98" s="30"/>
      <c r="K98" s="3"/>
      <c r="L98" s="165"/>
    </row>
    <row r="99" spans="1:12" ht="31.5">
      <c r="A99" s="86" t="s">
        <v>18</v>
      </c>
      <c r="B99" s="48" t="s">
        <v>323</v>
      </c>
      <c r="C99" s="48" t="s">
        <v>13</v>
      </c>
      <c r="D99" s="24">
        <f>'2016 год Приложение  5'!E109</f>
        <v>12409.3</v>
      </c>
      <c r="E99" s="24">
        <f>'2016 год Приложение  5'!F109</f>
        <v>0</v>
      </c>
      <c r="F99" s="24">
        <f>'2016 год Приложение  5'!G109</f>
        <v>12409.3</v>
      </c>
      <c r="G99" s="30"/>
      <c r="H99" s="30"/>
      <c r="I99" s="30"/>
      <c r="J99" s="30"/>
      <c r="K99" s="3"/>
      <c r="L99" s="165"/>
    </row>
    <row r="100" spans="1:12" ht="15.75">
      <c r="A100" s="53" t="s">
        <v>61</v>
      </c>
      <c r="B100" s="48" t="s">
        <v>323</v>
      </c>
      <c r="C100" s="48" t="s">
        <v>62</v>
      </c>
      <c r="D100" s="24">
        <f>'2016 год Приложение  5'!E110</f>
        <v>1961.9</v>
      </c>
      <c r="E100" s="24">
        <f>'2016 год Приложение  5'!F110</f>
        <v>0</v>
      </c>
      <c r="F100" s="24">
        <f>'2016 год Приложение  5'!G110</f>
        <v>1961.9</v>
      </c>
      <c r="G100" s="30"/>
      <c r="H100" s="30"/>
      <c r="I100" s="30"/>
      <c r="J100" s="30"/>
      <c r="K100" s="3"/>
      <c r="L100" s="165"/>
    </row>
    <row r="101" spans="1:12" ht="47.25">
      <c r="A101" s="46" t="s">
        <v>88</v>
      </c>
      <c r="B101" s="17" t="s">
        <v>409</v>
      </c>
      <c r="C101" s="48"/>
      <c r="D101" s="24">
        <f>D102</f>
        <v>24434.6</v>
      </c>
      <c r="E101" s="24">
        <f>E102</f>
        <v>0</v>
      </c>
      <c r="F101" s="24">
        <f>F102</f>
        <v>24434.6</v>
      </c>
      <c r="G101" s="30"/>
      <c r="H101" s="30"/>
      <c r="I101" s="30"/>
      <c r="J101" s="30"/>
      <c r="K101" s="3"/>
      <c r="L101" s="165"/>
    </row>
    <row r="102" spans="1:12" ht="15.75">
      <c r="A102" s="53" t="s">
        <v>61</v>
      </c>
      <c r="B102" s="17" t="s">
        <v>409</v>
      </c>
      <c r="C102" s="48" t="s">
        <v>62</v>
      </c>
      <c r="D102" s="24">
        <f>'2016 год Приложение  5'!E112</f>
        <v>24434.6</v>
      </c>
      <c r="E102" s="24">
        <f>'2016 год Приложение  5'!F112</f>
        <v>0</v>
      </c>
      <c r="F102" s="24">
        <f>'2016 год Приложение  5'!G112</f>
        <v>24434.6</v>
      </c>
      <c r="G102" s="30"/>
      <c r="H102" s="30"/>
      <c r="I102" s="30"/>
      <c r="J102" s="30"/>
      <c r="K102" s="3"/>
      <c r="L102" s="165"/>
    </row>
    <row r="103" spans="1:12" ht="31.5">
      <c r="A103" s="46" t="s">
        <v>56</v>
      </c>
      <c r="B103" s="48" t="s">
        <v>315</v>
      </c>
      <c r="C103" s="72"/>
      <c r="D103" s="49">
        <f>D104</f>
        <v>5530</v>
      </c>
      <c r="E103" s="49">
        <f>E104</f>
        <v>-694.6</v>
      </c>
      <c r="F103" s="49">
        <f>F104</f>
        <v>4835.4</v>
      </c>
      <c r="G103" s="30"/>
      <c r="H103" s="30"/>
      <c r="I103" s="30"/>
      <c r="J103" s="30"/>
      <c r="K103" s="3"/>
      <c r="L103" s="165"/>
    </row>
    <row r="104" spans="1:12" ht="31.5">
      <c r="A104" s="46" t="s">
        <v>18</v>
      </c>
      <c r="B104" s="48" t="s">
        <v>315</v>
      </c>
      <c r="C104" s="48" t="s">
        <v>13</v>
      </c>
      <c r="D104" s="49">
        <f>'2016 год Приложение  5'!E114</f>
        <v>5530</v>
      </c>
      <c r="E104" s="49">
        <f>'2016 год Приложение  5'!F114</f>
        <v>-694.6</v>
      </c>
      <c r="F104" s="49">
        <f>'2016 год Приложение  5'!G114</f>
        <v>4835.4</v>
      </c>
      <c r="G104" s="30"/>
      <c r="H104" s="30"/>
      <c r="I104" s="30"/>
      <c r="J104" s="30"/>
      <c r="K104" s="3"/>
      <c r="L104" s="165"/>
    </row>
    <row r="105" spans="1:12" ht="15.75">
      <c r="A105" s="51" t="s">
        <v>431</v>
      </c>
      <c r="B105" s="17" t="s">
        <v>430</v>
      </c>
      <c r="C105" s="48"/>
      <c r="D105" s="49">
        <f>D106</f>
        <v>30</v>
      </c>
      <c r="E105" s="49">
        <f>E106</f>
        <v>0</v>
      </c>
      <c r="F105" s="49">
        <f>F106</f>
        <v>30</v>
      </c>
      <c r="G105" s="30"/>
      <c r="H105" s="30"/>
      <c r="I105" s="30"/>
      <c r="J105" s="30"/>
      <c r="K105" s="3"/>
      <c r="L105" s="165"/>
    </row>
    <row r="106" spans="1:12" ht="31.5">
      <c r="A106" s="117" t="s">
        <v>18</v>
      </c>
      <c r="B106" s="17" t="s">
        <v>430</v>
      </c>
      <c r="C106" s="48" t="s">
        <v>13</v>
      </c>
      <c r="D106" s="49">
        <f>'2016 год Приложение  5'!E116</f>
        <v>30</v>
      </c>
      <c r="E106" s="49">
        <f>'2016 год Приложение  5'!F116</f>
        <v>0</v>
      </c>
      <c r="F106" s="49">
        <f>D106+E106</f>
        <v>30</v>
      </c>
      <c r="G106" s="30"/>
      <c r="H106" s="30"/>
      <c r="I106" s="30"/>
      <c r="J106" s="30"/>
      <c r="K106" s="3"/>
      <c r="L106" s="165"/>
    </row>
    <row r="107" spans="1:12" ht="78" customHeight="1">
      <c r="A107" s="51" t="s">
        <v>57</v>
      </c>
      <c r="B107" s="17" t="s">
        <v>353</v>
      </c>
      <c r="C107" s="48"/>
      <c r="D107" s="49">
        <f>D108</f>
        <v>2096.9</v>
      </c>
      <c r="E107" s="49">
        <f>E108</f>
        <v>0</v>
      </c>
      <c r="F107" s="49">
        <f>F108</f>
        <v>2096.9</v>
      </c>
      <c r="G107" s="30"/>
      <c r="H107" s="30"/>
      <c r="I107" s="30"/>
      <c r="J107" s="30"/>
      <c r="K107" s="3"/>
      <c r="L107" s="165"/>
    </row>
    <row r="108" spans="1:12" ht="15.75">
      <c r="A108" s="90" t="s">
        <v>14</v>
      </c>
      <c r="B108" s="17" t="s">
        <v>353</v>
      </c>
      <c r="C108" s="48" t="s">
        <v>17</v>
      </c>
      <c r="D108" s="49">
        <f>'2016 год Приложение  5'!E118</f>
        <v>2096.9</v>
      </c>
      <c r="E108" s="49">
        <f>'2016 год Приложение  5'!F118</f>
        <v>0</v>
      </c>
      <c r="F108" s="49">
        <f>D108+E108</f>
        <v>2096.9</v>
      </c>
      <c r="G108" s="30"/>
      <c r="H108" s="30"/>
      <c r="I108" s="30"/>
      <c r="J108" s="30"/>
      <c r="K108" s="3"/>
      <c r="L108" s="165"/>
    </row>
    <row r="109" spans="1:12" ht="78.75">
      <c r="A109" s="46" t="s">
        <v>57</v>
      </c>
      <c r="B109" s="40" t="s">
        <v>338</v>
      </c>
      <c r="C109" s="48"/>
      <c r="D109" s="49">
        <f>D110</f>
        <v>300</v>
      </c>
      <c r="E109" s="49">
        <f>E110</f>
        <v>0</v>
      </c>
      <c r="F109" s="49">
        <f>F110</f>
        <v>300</v>
      </c>
      <c r="G109" s="30"/>
      <c r="H109" s="30"/>
      <c r="I109" s="30"/>
      <c r="J109" s="30"/>
      <c r="K109" s="3"/>
      <c r="L109" s="165"/>
    </row>
    <row r="110" spans="1:12" ht="15.75">
      <c r="A110" s="86" t="s">
        <v>14</v>
      </c>
      <c r="B110" s="40" t="s">
        <v>338</v>
      </c>
      <c r="C110" s="48" t="s">
        <v>17</v>
      </c>
      <c r="D110" s="24">
        <f>'2016 год Приложение  5'!E120</f>
        <v>300</v>
      </c>
      <c r="E110" s="24">
        <f>'2016 год Приложение  5'!F120</f>
        <v>0</v>
      </c>
      <c r="F110" s="24">
        <f>'2016 год Приложение  5'!G120</f>
        <v>300</v>
      </c>
      <c r="G110" s="30"/>
      <c r="H110" s="30"/>
      <c r="I110" s="30"/>
      <c r="J110" s="30"/>
      <c r="K110" s="3"/>
      <c r="L110" s="165"/>
    </row>
    <row r="111" spans="1:12" ht="47.25">
      <c r="A111" s="12" t="s">
        <v>92</v>
      </c>
      <c r="B111" s="13" t="s">
        <v>316</v>
      </c>
      <c r="C111" s="13" t="s">
        <v>0</v>
      </c>
      <c r="D111" s="14">
        <f>D112+D117+D114</f>
        <v>477.2</v>
      </c>
      <c r="E111" s="14">
        <f>E112+E117+E114</f>
        <v>0</v>
      </c>
      <c r="F111" s="14">
        <f>F112+F117+F114</f>
        <v>477.2</v>
      </c>
      <c r="G111" s="30"/>
      <c r="H111" s="30"/>
      <c r="I111" s="30"/>
      <c r="J111" s="30"/>
      <c r="K111" s="3"/>
      <c r="L111" s="165"/>
    </row>
    <row r="112" spans="1:12" ht="63">
      <c r="A112" s="47" t="s">
        <v>93</v>
      </c>
      <c r="B112" s="32" t="s">
        <v>317</v>
      </c>
      <c r="C112" s="40"/>
      <c r="D112" s="41">
        <f>D113</f>
        <v>177.2</v>
      </c>
      <c r="E112" s="41">
        <f>E113</f>
        <v>0</v>
      </c>
      <c r="F112" s="41">
        <f>F113</f>
        <v>177.2</v>
      </c>
      <c r="G112" s="30"/>
      <c r="H112" s="30"/>
      <c r="I112" s="30"/>
      <c r="J112" s="30"/>
      <c r="K112" s="3"/>
      <c r="L112" s="165"/>
    </row>
    <row r="113" spans="1:12" ht="47.25">
      <c r="A113" s="26" t="s">
        <v>40</v>
      </c>
      <c r="B113" s="32" t="s">
        <v>317</v>
      </c>
      <c r="C113" s="48" t="s">
        <v>35</v>
      </c>
      <c r="D113" s="24">
        <f>'2016 год Приложение  5'!E123</f>
        <v>177.2</v>
      </c>
      <c r="E113" s="24">
        <f>'2016 год Приложение  5'!F123</f>
        <v>0</v>
      </c>
      <c r="F113" s="24">
        <f>'2016 год Приложение  5'!G123</f>
        <v>177.2</v>
      </c>
      <c r="G113" s="30"/>
      <c r="H113" s="30"/>
      <c r="I113" s="30"/>
      <c r="J113" s="30"/>
      <c r="K113" s="3"/>
      <c r="L113" s="165"/>
    </row>
    <row r="114" spans="1:12" ht="31.5">
      <c r="A114" s="26" t="s">
        <v>94</v>
      </c>
      <c r="B114" s="32" t="s">
        <v>318</v>
      </c>
      <c r="C114" s="48"/>
      <c r="D114" s="24">
        <f>D115+D116</f>
        <v>150</v>
      </c>
      <c r="E114" s="24">
        <f>E115+E116</f>
        <v>0</v>
      </c>
      <c r="F114" s="24">
        <f>F115+F116</f>
        <v>150</v>
      </c>
      <c r="G114" s="30"/>
      <c r="H114" s="30"/>
      <c r="I114" s="30"/>
      <c r="J114" s="30"/>
      <c r="K114" s="3"/>
      <c r="L114" s="165"/>
    </row>
    <row r="115" spans="1:12" ht="31.5">
      <c r="A115" s="158" t="s">
        <v>18</v>
      </c>
      <c r="B115" s="32" t="s">
        <v>318</v>
      </c>
      <c r="C115" s="25" t="s">
        <v>13</v>
      </c>
      <c r="D115" s="24">
        <f>'2016 год Приложение  5'!E125</f>
        <v>50</v>
      </c>
      <c r="E115" s="24">
        <f>'2016 год Приложение  5'!F125</f>
        <v>0</v>
      </c>
      <c r="F115" s="24">
        <f>'2016 год Приложение  5'!G125</f>
        <v>50</v>
      </c>
      <c r="G115" s="30"/>
      <c r="H115" s="30"/>
      <c r="I115" s="30"/>
      <c r="J115" s="30"/>
      <c r="K115" s="3"/>
      <c r="L115" s="165"/>
    </row>
    <row r="116" spans="1:12" ht="31.5">
      <c r="A116" s="46" t="s">
        <v>140</v>
      </c>
      <c r="B116" s="32" t="s">
        <v>318</v>
      </c>
      <c r="C116" s="25" t="s">
        <v>22</v>
      </c>
      <c r="D116" s="24">
        <f>'2016 год Приложение  5'!E126</f>
        <v>100</v>
      </c>
      <c r="E116" s="24">
        <f>'2016 год Приложение  5'!F126</f>
        <v>0</v>
      </c>
      <c r="F116" s="24">
        <f>'2016 год Приложение  5'!G126</f>
        <v>100</v>
      </c>
      <c r="G116" s="30"/>
      <c r="H116" s="30"/>
      <c r="I116" s="30"/>
      <c r="J116" s="30"/>
      <c r="K116" s="3"/>
      <c r="L116" s="165"/>
    </row>
    <row r="117" spans="1:12" ht="31.5">
      <c r="A117" s="46" t="s">
        <v>68</v>
      </c>
      <c r="B117" s="32" t="s">
        <v>319</v>
      </c>
      <c r="C117" s="25"/>
      <c r="D117" s="24">
        <f>D118</f>
        <v>150</v>
      </c>
      <c r="E117" s="24">
        <f>E118</f>
        <v>0</v>
      </c>
      <c r="F117" s="24">
        <f>F118</f>
        <v>150</v>
      </c>
      <c r="G117" s="30"/>
      <c r="H117" s="30"/>
      <c r="I117" s="30"/>
      <c r="J117" s="30"/>
      <c r="K117" s="3"/>
      <c r="L117" s="165"/>
    </row>
    <row r="118" spans="1:12" ht="31.5">
      <c r="A118" s="86" t="s">
        <v>18</v>
      </c>
      <c r="B118" s="32" t="s">
        <v>319</v>
      </c>
      <c r="C118" s="48" t="s">
        <v>13</v>
      </c>
      <c r="D118" s="24">
        <f>'2016 год Приложение  5'!E128</f>
        <v>150</v>
      </c>
      <c r="E118" s="24">
        <f>'2016 год Приложение  5'!F128</f>
        <v>0</v>
      </c>
      <c r="F118" s="24">
        <f>'2016 год Приложение  5'!G128</f>
        <v>150</v>
      </c>
      <c r="G118" s="30"/>
      <c r="H118" s="30"/>
      <c r="I118" s="30"/>
      <c r="J118" s="30"/>
      <c r="K118" s="3"/>
      <c r="L118" s="165"/>
    </row>
    <row r="119" spans="1:13" ht="31.5">
      <c r="A119" s="34" t="s">
        <v>118</v>
      </c>
      <c r="B119" s="35" t="s">
        <v>205</v>
      </c>
      <c r="C119" s="35" t="s">
        <v>0</v>
      </c>
      <c r="D119" s="36">
        <f>D120+D138+D161+D176+D182</f>
        <v>1061380.5999999999</v>
      </c>
      <c r="E119" s="36">
        <f>E120+E138+E161+E176+E182</f>
        <v>2765.8</v>
      </c>
      <c r="F119" s="36">
        <f>F120+F138+F161+F176+F182</f>
        <v>1064146.4</v>
      </c>
      <c r="G119" s="30"/>
      <c r="H119" s="30"/>
      <c r="I119" s="30"/>
      <c r="J119" s="30"/>
      <c r="K119" s="3"/>
      <c r="L119" s="165">
        <f>'2016 год Приложение  5'!G129+'2016 год Приложение  5'!G351</f>
        <v>1064146.4</v>
      </c>
      <c r="M119" s="165">
        <f>F119-L119</f>
        <v>0</v>
      </c>
    </row>
    <row r="120" spans="1:13" ht="31.5">
      <c r="A120" s="12" t="s">
        <v>136</v>
      </c>
      <c r="B120" s="13" t="s">
        <v>206</v>
      </c>
      <c r="C120" s="13" t="s">
        <v>0</v>
      </c>
      <c r="D120" s="14">
        <f>D121+D131+D125+D134+D129+D123+D127+D136</f>
        <v>397554.9</v>
      </c>
      <c r="E120" s="14">
        <f>E121+E131+E125+E134+E129+E123+E127+E136</f>
        <v>967.2</v>
      </c>
      <c r="F120" s="14">
        <f>F121+F131+F125+F134+F129+F123+F127+F136</f>
        <v>398522.1</v>
      </c>
      <c r="G120" s="30"/>
      <c r="H120" s="30"/>
      <c r="I120" s="30"/>
      <c r="J120" s="30"/>
      <c r="K120" s="3"/>
      <c r="L120" s="165">
        <f>'2016 год Приложение  5'!G352</f>
        <v>398522.1</v>
      </c>
      <c r="M120" s="165">
        <f>F120-L120</f>
        <v>0</v>
      </c>
    </row>
    <row r="121" spans="1:12" ht="31.5">
      <c r="A121" s="46" t="s">
        <v>36</v>
      </c>
      <c r="B121" s="48" t="s">
        <v>204</v>
      </c>
      <c r="C121" s="48"/>
      <c r="D121" s="49">
        <f>D122</f>
        <v>78689.7</v>
      </c>
      <c r="E121" s="49">
        <f>E122</f>
        <v>0</v>
      </c>
      <c r="F121" s="49">
        <f>F122</f>
        <v>78689.7</v>
      </c>
      <c r="G121" s="30"/>
      <c r="H121" s="30"/>
      <c r="I121" s="30"/>
      <c r="J121" s="30"/>
      <c r="K121" s="3"/>
      <c r="L121" s="165"/>
    </row>
    <row r="122" spans="1:12" ht="31.5">
      <c r="A122" s="46" t="s">
        <v>15</v>
      </c>
      <c r="B122" s="48" t="s">
        <v>204</v>
      </c>
      <c r="C122" s="48" t="s">
        <v>16</v>
      </c>
      <c r="D122" s="49">
        <f>'2016 год Приложение  5'!E354</f>
        <v>78689.7</v>
      </c>
      <c r="E122" s="49">
        <f>'2016 год Приложение  5'!F354</f>
        <v>0</v>
      </c>
      <c r="F122" s="49">
        <f>'2016 год Приложение  5'!G354</f>
        <v>78689.7</v>
      </c>
      <c r="G122" s="30"/>
      <c r="H122" s="30"/>
      <c r="I122" s="30"/>
      <c r="J122" s="30"/>
      <c r="K122" s="3"/>
      <c r="L122" s="165"/>
    </row>
    <row r="123" spans="1:12" ht="63">
      <c r="A123" s="46" t="s">
        <v>106</v>
      </c>
      <c r="B123" s="48" t="s">
        <v>209</v>
      </c>
      <c r="C123" s="48"/>
      <c r="D123" s="49">
        <f>D124</f>
        <v>289137.80000000005</v>
      </c>
      <c r="E123" s="49">
        <f>E124</f>
        <v>967.2</v>
      </c>
      <c r="F123" s="49">
        <f>F124</f>
        <v>290105.00000000006</v>
      </c>
      <c r="G123" s="30"/>
      <c r="H123" s="30"/>
      <c r="I123" s="30"/>
      <c r="J123" s="30"/>
      <c r="K123" s="3"/>
      <c r="L123" s="165"/>
    </row>
    <row r="124" spans="1:12" ht="36" customHeight="1">
      <c r="A124" s="46" t="s">
        <v>15</v>
      </c>
      <c r="B124" s="48" t="s">
        <v>209</v>
      </c>
      <c r="C124" s="48" t="s">
        <v>16</v>
      </c>
      <c r="D124" s="49">
        <f>'2016 год Приложение  5'!E356</f>
        <v>289137.80000000005</v>
      </c>
      <c r="E124" s="49">
        <f>'2016 год Приложение  5'!F356</f>
        <v>967.2</v>
      </c>
      <c r="F124" s="49">
        <f>'2016 год Приложение  5'!G356</f>
        <v>290105.00000000006</v>
      </c>
      <c r="G124" s="30"/>
      <c r="H124" s="30"/>
      <c r="I124" s="30"/>
      <c r="J124" s="30"/>
      <c r="K124" s="3"/>
      <c r="L124" s="165"/>
    </row>
    <row r="125" spans="1:12" ht="47.25">
      <c r="A125" s="46" t="s">
        <v>37</v>
      </c>
      <c r="B125" s="48" t="s">
        <v>207</v>
      </c>
      <c r="C125" s="48"/>
      <c r="D125" s="49">
        <f>D126</f>
        <v>7643</v>
      </c>
      <c r="E125" s="49">
        <f>E126</f>
        <v>0</v>
      </c>
      <c r="F125" s="49">
        <f>F126</f>
        <v>7643</v>
      </c>
      <c r="G125" s="30"/>
      <c r="H125" s="30"/>
      <c r="I125" s="30"/>
      <c r="J125" s="30"/>
      <c r="K125" s="3"/>
      <c r="L125" s="165"/>
    </row>
    <row r="126" spans="1:12" ht="39" customHeight="1">
      <c r="A126" s="46" t="s">
        <v>15</v>
      </c>
      <c r="B126" s="48" t="s">
        <v>207</v>
      </c>
      <c r="C126" s="48" t="s">
        <v>16</v>
      </c>
      <c r="D126" s="49">
        <f>'2016 год Приложение  5'!E358</f>
        <v>7643</v>
      </c>
      <c r="E126" s="49">
        <f>'2016 год Приложение  5'!F358</f>
        <v>0</v>
      </c>
      <c r="F126" s="49">
        <f>'2016 год Приложение  5'!G358</f>
        <v>7643</v>
      </c>
      <c r="G126" s="30"/>
      <c r="H126" s="30"/>
      <c r="I126" s="30"/>
      <c r="J126" s="30"/>
      <c r="K126" s="3"/>
      <c r="L126" s="165"/>
    </row>
    <row r="127" spans="1:12" ht="43.5" customHeight="1">
      <c r="A127" s="46" t="s">
        <v>384</v>
      </c>
      <c r="B127" s="48" t="s">
        <v>434</v>
      </c>
      <c r="C127" s="48"/>
      <c r="D127" s="49">
        <f>D128</f>
        <v>583.6</v>
      </c>
      <c r="E127" s="49">
        <f>E128</f>
        <v>0</v>
      </c>
      <c r="F127" s="49">
        <f>F128</f>
        <v>583.6</v>
      </c>
      <c r="G127" s="30"/>
      <c r="H127" s="30"/>
      <c r="I127" s="30"/>
      <c r="J127" s="30"/>
      <c r="K127" s="3"/>
      <c r="L127" s="165"/>
    </row>
    <row r="128" spans="1:12" ht="39" customHeight="1">
      <c r="A128" s="46" t="s">
        <v>15</v>
      </c>
      <c r="B128" s="48" t="s">
        <v>434</v>
      </c>
      <c r="C128" s="48" t="s">
        <v>16</v>
      </c>
      <c r="D128" s="49">
        <f>'2016 год Приложение  5'!E360</f>
        <v>583.6</v>
      </c>
      <c r="E128" s="49">
        <f>'2016 год Приложение  5'!F360</f>
        <v>0</v>
      </c>
      <c r="F128" s="49">
        <f>'2016 год Приложение  5'!G360</f>
        <v>583.6</v>
      </c>
      <c r="G128" s="30"/>
      <c r="H128" s="30"/>
      <c r="I128" s="30"/>
      <c r="J128" s="30"/>
      <c r="K128" s="3"/>
      <c r="L128" s="165"/>
    </row>
    <row r="129" spans="1:12" ht="36.75" customHeight="1">
      <c r="A129" s="46" t="s">
        <v>176</v>
      </c>
      <c r="B129" s="48" t="s">
        <v>208</v>
      </c>
      <c r="C129" s="48"/>
      <c r="D129" s="49">
        <f>D130</f>
        <v>186</v>
      </c>
      <c r="E129" s="49">
        <f>E130</f>
        <v>0</v>
      </c>
      <c r="F129" s="49">
        <f>F130</f>
        <v>186</v>
      </c>
      <c r="G129" s="30"/>
      <c r="H129" s="30"/>
      <c r="I129" s="30"/>
      <c r="J129" s="30"/>
      <c r="K129" s="3"/>
      <c r="L129" s="165"/>
    </row>
    <row r="130" spans="1:12" ht="39" customHeight="1">
      <c r="A130" s="46" t="s">
        <v>15</v>
      </c>
      <c r="B130" s="48" t="s">
        <v>208</v>
      </c>
      <c r="C130" s="48" t="s">
        <v>16</v>
      </c>
      <c r="D130" s="49">
        <f>'2016 год Приложение  5'!E362</f>
        <v>186</v>
      </c>
      <c r="E130" s="49">
        <f>'2016 год Приложение  5'!F362</f>
        <v>0</v>
      </c>
      <c r="F130" s="49">
        <f>'2016 год Приложение  5'!G362</f>
        <v>186</v>
      </c>
      <c r="G130" s="30"/>
      <c r="H130" s="30"/>
      <c r="I130" s="30"/>
      <c r="J130" s="30"/>
      <c r="K130" s="3"/>
      <c r="L130" s="165"/>
    </row>
    <row r="131" spans="1:12" ht="82.5" customHeight="1">
      <c r="A131" s="46" t="s">
        <v>105</v>
      </c>
      <c r="B131" s="48" t="s">
        <v>210</v>
      </c>
      <c r="C131" s="48"/>
      <c r="D131" s="49">
        <f>D133+D132</f>
        <v>19392.2</v>
      </c>
      <c r="E131" s="49">
        <f>E133+E132</f>
        <v>0</v>
      </c>
      <c r="F131" s="49">
        <f>F133+F132</f>
        <v>19392.2</v>
      </c>
      <c r="G131" s="30"/>
      <c r="H131" s="30"/>
      <c r="I131" s="30"/>
      <c r="J131" s="30"/>
      <c r="K131" s="3"/>
      <c r="L131" s="165"/>
    </row>
    <row r="132" spans="1:12" ht="15.75">
      <c r="A132" s="46" t="s">
        <v>38</v>
      </c>
      <c r="B132" s="48" t="s">
        <v>210</v>
      </c>
      <c r="C132" s="48" t="s">
        <v>22</v>
      </c>
      <c r="D132" s="49">
        <f>'2016 год Приложение  5'!E364</f>
        <v>796</v>
      </c>
      <c r="E132" s="49">
        <f>'2016 год Приложение  5'!F364</f>
        <v>0</v>
      </c>
      <c r="F132" s="49">
        <f>'2016 год Приложение  5'!G364</f>
        <v>796</v>
      </c>
      <c r="G132" s="30"/>
      <c r="H132" s="30"/>
      <c r="I132" s="30"/>
      <c r="J132" s="30"/>
      <c r="K132" s="3"/>
      <c r="L132" s="165"/>
    </row>
    <row r="133" spans="1:12" ht="31.5">
      <c r="A133" s="46" t="s">
        <v>15</v>
      </c>
      <c r="B133" s="48" t="s">
        <v>210</v>
      </c>
      <c r="C133" s="48" t="s">
        <v>16</v>
      </c>
      <c r="D133" s="49">
        <f>'2016 год Приложение  5'!E365</f>
        <v>18596.2</v>
      </c>
      <c r="E133" s="49">
        <f>'2016 год Приложение  5'!F365</f>
        <v>0</v>
      </c>
      <c r="F133" s="49">
        <f>'2016 год Приложение  5'!G365</f>
        <v>18596.2</v>
      </c>
      <c r="G133" s="30"/>
      <c r="H133" s="30"/>
      <c r="I133" s="30"/>
      <c r="J133" s="30"/>
      <c r="K133" s="3"/>
      <c r="L133" s="165"/>
    </row>
    <row r="134" spans="1:12" ht="111.75" customHeight="1">
      <c r="A134" s="65" t="s">
        <v>138</v>
      </c>
      <c r="B134" s="48" t="s">
        <v>211</v>
      </c>
      <c r="C134" s="48"/>
      <c r="D134" s="49">
        <f>D135</f>
        <v>1848</v>
      </c>
      <c r="E134" s="49">
        <f>E135</f>
        <v>0</v>
      </c>
      <c r="F134" s="49">
        <f>F135</f>
        <v>1848</v>
      </c>
      <c r="G134" s="30"/>
      <c r="H134" s="30"/>
      <c r="I134" s="30"/>
      <c r="J134" s="30"/>
      <c r="K134" s="3"/>
      <c r="L134" s="165"/>
    </row>
    <row r="135" spans="1:12" ht="15.75">
      <c r="A135" s="46" t="s">
        <v>38</v>
      </c>
      <c r="B135" s="48" t="s">
        <v>211</v>
      </c>
      <c r="C135" s="48" t="s">
        <v>22</v>
      </c>
      <c r="D135" s="49">
        <f>'2016 год Приложение  5'!E367</f>
        <v>1848</v>
      </c>
      <c r="E135" s="49">
        <f>'2016 год Приложение  5'!F367</f>
        <v>0</v>
      </c>
      <c r="F135" s="49">
        <f>'2016 год Приложение  5'!G367</f>
        <v>1848</v>
      </c>
      <c r="G135" s="30"/>
      <c r="H135" s="30"/>
      <c r="I135" s="30"/>
      <c r="J135" s="30"/>
      <c r="K135" s="3"/>
      <c r="L135" s="165"/>
    </row>
    <row r="136" spans="1:12" ht="47.25">
      <c r="A136" s="46" t="s">
        <v>177</v>
      </c>
      <c r="B136" s="48" t="s">
        <v>435</v>
      </c>
      <c r="C136" s="48"/>
      <c r="D136" s="49">
        <f>D137</f>
        <v>74.6</v>
      </c>
      <c r="E136" s="49">
        <f>E137</f>
        <v>0</v>
      </c>
      <c r="F136" s="49">
        <f>F137</f>
        <v>74.6</v>
      </c>
      <c r="G136" s="30"/>
      <c r="H136" s="30"/>
      <c r="I136" s="30"/>
      <c r="J136" s="30"/>
      <c r="K136" s="3"/>
      <c r="L136" s="165"/>
    </row>
    <row r="137" spans="1:12" ht="31.5">
      <c r="A137" s="46" t="s">
        <v>15</v>
      </c>
      <c r="B137" s="48" t="s">
        <v>435</v>
      </c>
      <c r="C137" s="48" t="s">
        <v>16</v>
      </c>
      <c r="D137" s="49">
        <f>'2016 год Приложение  5'!E369</f>
        <v>74.6</v>
      </c>
      <c r="E137" s="49">
        <f>'2016 год Приложение  5'!F369</f>
        <v>0</v>
      </c>
      <c r="F137" s="49">
        <f>'2016 год Приложение  5'!G369</f>
        <v>74.6</v>
      </c>
      <c r="G137" s="30"/>
      <c r="H137" s="30"/>
      <c r="I137" s="30"/>
      <c r="J137" s="30"/>
      <c r="K137" s="3"/>
      <c r="L137" s="165"/>
    </row>
    <row r="138" spans="1:13" ht="31.5">
      <c r="A138" s="12" t="s">
        <v>119</v>
      </c>
      <c r="B138" s="13" t="s">
        <v>212</v>
      </c>
      <c r="C138" s="13" t="s">
        <v>0</v>
      </c>
      <c r="D138" s="14">
        <f>D139+D143+D159+D156+D150+D152+D141+D154+D146+D148</f>
        <v>572339.8999999999</v>
      </c>
      <c r="E138" s="14">
        <f>E139+E143+E159+E156+E150+E152+E141+E154+E146+E148</f>
        <v>1798.6</v>
      </c>
      <c r="F138" s="14">
        <f>F139+F143+F159+F156+F150+F152+F141+F154+F146+F148</f>
        <v>574138.4999999999</v>
      </c>
      <c r="G138" s="30"/>
      <c r="H138" s="30"/>
      <c r="I138" s="30"/>
      <c r="J138" s="30"/>
      <c r="K138" s="3"/>
      <c r="L138" s="165">
        <f>'2016 год Приложение  5'!G370</f>
        <v>574138.4999999999</v>
      </c>
      <c r="M138" s="165">
        <f>F138-L138</f>
        <v>0</v>
      </c>
    </row>
    <row r="139" spans="1:12" ht="31.5">
      <c r="A139" s="46" t="s">
        <v>36</v>
      </c>
      <c r="B139" s="48" t="s">
        <v>213</v>
      </c>
      <c r="C139" s="48"/>
      <c r="D139" s="49">
        <f>D140</f>
        <v>107759.2</v>
      </c>
      <c r="E139" s="49">
        <f>E140</f>
        <v>0</v>
      </c>
      <c r="F139" s="49">
        <f>F140</f>
        <v>107759.2</v>
      </c>
      <c r="G139" s="30"/>
      <c r="H139" s="30"/>
      <c r="I139" s="30"/>
      <c r="J139" s="30"/>
      <c r="K139" s="3"/>
      <c r="L139" s="165"/>
    </row>
    <row r="140" spans="1:12" ht="31.5">
      <c r="A140" s="46" t="s">
        <v>15</v>
      </c>
      <c r="B140" s="48" t="s">
        <v>213</v>
      </c>
      <c r="C140" s="48" t="s">
        <v>16</v>
      </c>
      <c r="D140" s="49">
        <f>'2016 год Приложение  5'!E372</f>
        <v>107759.2</v>
      </c>
      <c r="E140" s="49">
        <f>'2016 год Приложение  5'!F372</f>
        <v>0</v>
      </c>
      <c r="F140" s="49">
        <f>'2016 год Приложение  5'!G372</f>
        <v>107759.2</v>
      </c>
      <c r="G140" s="30"/>
      <c r="H140" s="30"/>
      <c r="I140" s="30"/>
      <c r="J140" s="30"/>
      <c r="K140" s="3"/>
      <c r="L140" s="165"/>
    </row>
    <row r="141" spans="1:12" ht="63">
      <c r="A141" s="46" t="s">
        <v>106</v>
      </c>
      <c r="B141" s="48" t="s">
        <v>215</v>
      </c>
      <c r="C141" s="48"/>
      <c r="D141" s="49">
        <f>D142</f>
        <v>429835.19999999995</v>
      </c>
      <c r="E141" s="49">
        <f>E142</f>
        <v>798.6</v>
      </c>
      <c r="F141" s="49">
        <f>F142</f>
        <v>430633.79999999993</v>
      </c>
      <c r="G141" s="30"/>
      <c r="H141" s="30"/>
      <c r="I141" s="30"/>
      <c r="J141" s="30"/>
      <c r="K141" s="3"/>
      <c r="L141" s="165"/>
    </row>
    <row r="142" spans="1:12" ht="31.5">
      <c r="A142" s="46" t="s">
        <v>15</v>
      </c>
      <c r="B142" s="48" t="s">
        <v>215</v>
      </c>
      <c r="C142" s="48" t="s">
        <v>16</v>
      </c>
      <c r="D142" s="49">
        <f>'2016 год Приложение  5'!E374</f>
        <v>429835.19999999995</v>
      </c>
      <c r="E142" s="49">
        <f>'2016 год Приложение  5'!F374</f>
        <v>798.6</v>
      </c>
      <c r="F142" s="49">
        <f>'2016 год Приложение  5'!G374</f>
        <v>430633.79999999993</v>
      </c>
      <c r="G142" s="30"/>
      <c r="H142" s="30"/>
      <c r="I142" s="30"/>
      <c r="J142" s="30"/>
      <c r="K142" s="3"/>
      <c r="L142" s="165"/>
    </row>
    <row r="143" spans="1:12" ht="31.5">
      <c r="A143" s="46" t="s">
        <v>39</v>
      </c>
      <c r="B143" s="48" t="s">
        <v>223</v>
      </c>
      <c r="C143" s="48"/>
      <c r="D143" s="49">
        <f>D145+D144</f>
        <v>7931.4</v>
      </c>
      <c r="E143" s="49">
        <f>E145+E144</f>
        <v>0</v>
      </c>
      <c r="F143" s="49">
        <f>F145+F144</f>
        <v>7931.4</v>
      </c>
      <c r="G143" s="30">
        <f>F147</f>
        <v>1895.6</v>
      </c>
      <c r="H143" s="30"/>
      <c r="I143" s="30"/>
      <c r="J143" s="30"/>
      <c r="K143" s="3"/>
      <c r="L143" s="165"/>
    </row>
    <row r="144" spans="1:12" ht="47.25">
      <c r="A144" s="26" t="s">
        <v>40</v>
      </c>
      <c r="B144" s="48" t="s">
        <v>223</v>
      </c>
      <c r="C144" s="48" t="s">
        <v>35</v>
      </c>
      <c r="D144" s="49">
        <f>'2016 год Приложение  5'!E376</f>
        <v>3246.2</v>
      </c>
      <c r="E144" s="49">
        <f>'2016 год Приложение  5'!F376</f>
        <v>0</v>
      </c>
      <c r="F144" s="49">
        <f>'2016 год Приложение  5'!G376</f>
        <v>3246.2</v>
      </c>
      <c r="G144" s="30">
        <f>F143+F148</f>
        <v>8061.9</v>
      </c>
      <c r="H144" s="30"/>
      <c r="I144" s="30"/>
      <c r="J144" s="30"/>
      <c r="K144" s="3"/>
      <c r="L144" s="165"/>
    </row>
    <row r="145" spans="1:12" ht="42.75" customHeight="1">
      <c r="A145" s="46" t="s">
        <v>15</v>
      </c>
      <c r="B145" s="48" t="s">
        <v>223</v>
      </c>
      <c r="C145" s="48" t="s">
        <v>16</v>
      </c>
      <c r="D145" s="49">
        <f>'2016 год Приложение  5'!E377</f>
        <v>4685.2</v>
      </c>
      <c r="E145" s="49">
        <f>'2016 год Приложение  5'!F377</f>
        <v>0</v>
      </c>
      <c r="F145" s="49">
        <f>'2016 год Приложение  5'!G377</f>
        <v>4685.2</v>
      </c>
      <c r="G145" s="30"/>
      <c r="H145" s="30"/>
      <c r="I145" s="30"/>
      <c r="J145" s="30"/>
      <c r="K145" s="3"/>
      <c r="L145" s="165"/>
    </row>
    <row r="146" spans="1:12" ht="49.5" customHeight="1">
      <c r="A146" s="46" t="s">
        <v>384</v>
      </c>
      <c r="B146" s="48" t="s">
        <v>383</v>
      </c>
      <c r="C146" s="48"/>
      <c r="D146" s="49">
        <f>D147</f>
        <v>1895.6</v>
      </c>
      <c r="E146" s="49">
        <f>E147</f>
        <v>0</v>
      </c>
      <c r="F146" s="49">
        <f>F147</f>
        <v>1895.6</v>
      </c>
      <c r="G146" s="30"/>
      <c r="H146" s="30"/>
      <c r="I146" s="30"/>
      <c r="J146" s="30"/>
      <c r="K146" s="3"/>
      <c r="L146" s="165"/>
    </row>
    <row r="147" spans="1:12" ht="42.75" customHeight="1">
      <c r="A147" s="46" t="s">
        <v>15</v>
      </c>
      <c r="B147" s="48" t="s">
        <v>383</v>
      </c>
      <c r="C147" s="48" t="s">
        <v>16</v>
      </c>
      <c r="D147" s="49">
        <f>'2016 год Приложение  5'!E379</f>
        <v>1895.6</v>
      </c>
      <c r="E147" s="49">
        <f>'2016 год Приложение  5'!F379</f>
        <v>0</v>
      </c>
      <c r="F147" s="49">
        <f>D147+E147</f>
        <v>1895.6</v>
      </c>
      <c r="G147" s="30"/>
      <c r="H147" s="30"/>
      <c r="I147" s="30"/>
      <c r="J147" s="30"/>
      <c r="K147" s="3"/>
      <c r="L147" s="165"/>
    </row>
    <row r="148" spans="1:12" ht="42.75" customHeight="1">
      <c r="A148" s="46" t="s">
        <v>384</v>
      </c>
      <c r="B148" s="48" t="s">
        <v>385</v>
      </c>
      <c r="C148" s="48"/>
      <c r="D148" s="49">
        <f>D149</f>
        <v>130.5</v>
      </c>
      <c r="E148" s="49">
        <f>E149</f>
        <v>0</v>
      </c>
      <c r="F148" s="49">
        <f>F149</f>
        <v>130.5</v>
      </c>
      <c r="G148" s="30"/>
      <c r="H148" s="30"/>
      <c r="I148" s="30"/>
      <c r="J148" s="30"/>
      <c r="K148" s="3"/>
      <c r="L148" s="165"/>
    </row>
    <row r="149" spans="1:12" ht="42.75" customHeight="1">
      <c r="A149" s="46" t="s">
        <v>15</v>
      </c>
      <c r="B149" s="48" t="s">
        <v>385</v>
      </c>
      <c r="C149" s="48" t="s">
        <v>16</v>
      </c>
      <c r="D149" s="49">
        <f>'2016 год Приложение  5'!E381</f>
        <v>130.5</v>
      </c>
      <c r="E149" s="49">
        <f>'2016 год Приложение  5'!F381</f>
        <v>0</v>
      </c>
      <c r="F149" s="49">
        <f>'2016 год Приложение  5'!G381</f>
        <v>130.5</v>
      </c>
      <c r="G149" s="30"/>
      <c r="H149" s="30"/>
      <c r="I149" s="30"/>
      <c r="J149" s="30"/>
      <c r="K149" s="3"/>
      <c r="L149" s="165"/>
    </row>
    <row r="150" spans="1:12" ht="36.75" customHeight="1">
      <c r="A150" s="46" t="s">
        <v>176</v>
      </c>
      <c r="B150" s="48" t="s">
        <v>224</v>
      </c>
      <c r="C150" s="48"/>
      <c r="D150" s="49">
        <f>D151</f>
        <v>158</v>
      </c>
      <c r="E150" s="49">
        <f>E151</f>
        <v>0</v>
      </c>
      <c r="F150" s="49">
        <f>F151</f>
        <v>158</v>
      </c>
      <c r="G150" s="30"/>
      <c r="H150" s="30"/>
      <c r="I150" s="30"/>
      <c r="J150" s="30"/>
      <c r="K150" s="3"/>
      <c r="L150" s="165"/>
    </row>
    <row r="151" spans="1:12" ht="36" customHeight="1">
      <c r="A151" s="46" t="s">
        <v>15</v>
      </c>
      <c r="B151" s="48" t="s">
        <v>224</v>
      </c>
      <c r="C151" s="48" t="s">
        <v>16</v>
      </c>
      <c r="D151" s="49">
        <f>'2016 год Приложение  5'!E383</f>
        <v>158</v>
      </c>
      <c r="E151" s="49">
        <f>'2016 год Приложение  5'!F383</f>
        <v>0</v>
      </c>
      <c r="F151" s="49">
        <f>'2016 год Приложение  5'!G383</f>
        <v>158</v>
      </c>
      <c r="G151" s="30"/>
      <c r="H151" s="30"/>
      <c r="I151" s="30"/>
      <c r="J151" s="30"/>
      <c r="K151" s="3"/>
      <c r="L151" s="165"/>
    </row>
    <row r="152" spans="1:12" ht="47.25">
      <c r="A152" s="46" t="s">
        <v>177</v>
      </c>
      <c r="B152" s="48" t="s">
        <v>236</v>
      </c>
      <c r="C152" s="48"/>
      <c r="D152" s="49">
        <f>D153</f>
        <v>825.4</v>
      </c>
      <c r="E152" s="49">
        <f>E153</f>
        <v>0</v>
      </c>
      <c r="F152" s="49">
        <f>F153</f>
        <v>825.4</v>
      </c>
      <c r="G152" s="30"/>
      <c r="H152" s="30"/>
      <c r="I152" s="30"/>
      <c r="J152" s="30"/>
      <c r="K152" s="3"/>
      <c r="L152" s="165"/>
    </row>
    <row r="153" spans="1:12" ht="31.5">
      <c r="A153" s="46" t="s">
        <v>15</v>
      </c>
      <c r="B153" s="48" t="s">
        <v>236</v>
      </c>
      <c r="C153" s="48" t="s">
        <v>16</v>
      </c>
      <c r="D153" s="49">
        <f>'2016 год Приложение  5'!E385</f>
        <v>825.4</v>
      </c>
      <c r="E153" s="49">
        <f>'2016 год Приложение  5'!F385</f>
        <v>0</v>
      </c>
      <c r="F153" s="49">
        <f>'2016 год Приложение  5'!G385</f>
        <v>825.4</v>
      </c>
      <c r="G153" s="30"/>
      <c r="H153" s="30"/>
      <c r="I153" s="30"/>
      <c r="J153" s="30"/>
      <c r="K153" s="3"/>
      <c r="L153" s="165"/>
    </row>
    <row r="154" spans="1:12" ht="63">
      <c r="A154" s="46" t="s">
        <v>178</v>
      </c>
      <c r="B154" s="48" t="s">
        <v>225</v>
      </c>
      <c r="C154" s="48"/>
      <c r="D154" s="49">
        <f>D155</f>
        <v>19688</v>
      </c>
      <c r="E154" s="49">
        <f>E155</f>
        <v>1000</v>
      </c>
      <c r="F154" s="49">
        <f>F155</f>
        <v>20688</v>
      </c>
      <c r="G154" s="30"/>
      <c r="H154" s="30"/>
      <c r="I154" s="30"/>
      <c r="J154" s="30"/>
      <c r="K154" s="3"/>
      <c r="L154" s="165"/>
    </row>
    <row r="155" spans="1:12" ht="35.25" customHeight="1">
      <c r="A155" s="46" t="s">
        <v>15</v>
      </c>
      <c r="B155" s="48" t="s">
        <v>225</v>
      </c>
      <c r="C155" s="48" t="s">
        <v>16</v>
      </c>
      <c r="D155" s="49">
        <f>'2016 год Приложение  5'!E387</f>
        <v>19688</v>
      </c>
      <c r="E155" s="49">
        <f>'2016 год Приложение  5'!F387</f>
        <v>1000</v>
      </c>
      <c r="F155" s="49">
        <f>'2016 год Приложение  5'!G387</f>
        <v>20688</v>
      </c>
      <c r="G155" s="30"/>
      <c r="H155" s="30"/>
      <c r="I155" s="30"/>
      <c r="J155" s="30"/>
      <c r="K155" s="3"/>
      <c r="L155" s="165"/>
    </row>
    <row r="156" spans="1:12" ht="67.5" customHeight="1">
      <c r="A156" s="46" t="s">
        <v>79</v>
      </c>
      <c r="B156" s="48" t="s">
        <v>214</v>
      </c>
      <c r="C156" s="48"/>
      <c r="D156" s="49">
        <f>D158+D157</f>
        <v>30.6</v>
      </c>
      <c r="E156" s="49">
        <f>E158+E157</f>
        <v>0</v>
      </c>
      <c r="F156" s="49">
        <f>F158+F157</f>
        <v>30.6</v>
      </c>
      <c r="G156" s="30"/>
      <c r="H156" s="30"/>
      <c r="I156" s="30"/>
      <c r="J156" s="30"/>
      <c r="K156" s="3"/>
      <c r="L156" s="165"/>
    </row>
    <row r="157" spans="1:12" ht="25.5" customHeight="1">
      <c r="A157" s="46" t="s">
        <v>38</v>
      </c>
      <c r="B157" s="48" t="s">
        <v>214</v>
      </c>
      <c r="C157" s="48" t="s">
        <v>22</v>
      </c>
      <c r="D157" s="49">
        <f>'2016 год Приложение  5'!E389</f>
        <v>29.8</v>
      </c>
      <c r="E157" s="49">
        <f>'2016 год Приложение  5'!F389</f>
        <v>0</v>
      </c>
      <c r="F157" s="49">
        <f>'2016 год Приложение  5'!G389</f>
        <v>29.8</v>
      </c>
      <c r="G157" s="30"/>
      <c r="H157" s="30"/>
      <c r="I157" s="30"/>
      <c r="J157" s="30"/>
      <c r="K157" s="3"/>
      <c r="L157" s="165"/>
    </row>
    <row r="158" spans="1:12" ht="31.5">
      <c r="A158" s="46" t="s">
        <v>15</v>
      </c>
      <c r="B158" s="48" t="s">
        <v>214</v>
      </c>
      <c r="C158" s="48" t="s">
        <v>16</v>
      </c>
      <c r="D158" s="49">
        <f>'2016 год Приложение  5'!E390</f>
        <v>0.8</v>
      </c>
      <c r="E158" s="49">
        <f>'2016 год Приложение  5'!F390</f>
        <v>0</v>
      </c>
      <c r="F158" s="49">
        <f>'2016 год Приложение  5'!G390</f>
        <v>0.8</v>
      </c>
      <c r="G158" s="30"/>
      <c r="H158" s="30"/>
      <c r="I158" s="30"/>
      <c r="J158" s="30"/>
      <c r="K158" s="3"/>
      <c r="L158" s="165"/>
    </row>
    <row r="159" spans="1:12" ht="111.75" customHeight="1">
      <c r="A159" s="65" t="s">
        <v>138</v>
      </c>
      <c r="B159" s="48" t="s">
        <v>216</v>
      </c>
      <c r="C159" s="48"/>
      <c r="D159" s="49">
        <f>D160</f>
        <v>4086</v>
      </c>
      <c r="E159" s="49">
        <f>E160</f>
        <v>0</v>
      </c>
      <c r="F159" s="49">
        <f>F160</f>
        <v>4086</v>
      </c>
      <c r="G159" s="30"/>
      <c r="H159" s="30"/>
      <c r="I159" s="30"/>
      <c r="J159" s="30"/>
      <c r="K159" s="3"/>
      <c r="L159" s="165"/>
    </row>
    <row r="160" spans="1:12" ht="15.75">
      <c r="A160" s="46" t="s">
        <v>38</v>
      </c>
      <c r="B160" s="48" t="s">
        <v>216</v>
      </c>
      <c r="C160" s="48" t="s">
        <v>22</v>
      </c>
      <c r="D160" s="49">
        <f>'2016 год Приложение  5'!E392</f>
        <v>4086</v>
      </c>
      <c r="E160" s="49">
        <f>'2016 год Приложение  5'!F392</f>
        <v>0</v>
      </c>
      <c r="F160" s="49">
        <f>'2016 год Приложение  5'!G392</f>
        <v>4086</v>
      </c>
      <c r="G160" s="30"/>
      <c r="H160" s="30"/>
      <c r="I160" s="30"/>
      <c r="J160" s="30"/>
      <c r="K160" s="3"/>
      <c r="L160" s="165"/>
    </row>
    <row r="161" spans="1:13" ht="24" customHeight="1">
      <c r="A161" s="12" t="s">
        <v>120</v>
      </c>
      <c r="B161" s="13" t="s">
        <v>217</v>
      </c>
      <c r="C161" s="13" t="s">
        <v>0</v>
      </c>
      <c r="D161" s="14">
        <f>D162+D164+D168+D166+D172+D174+D170</f>
        <v>27796.600000000002</v>
      </c>
      <c r="E161" s="14">
        <f>E162+E164+E168+E166+E172+E174+E170</f>
        <v>0</v>
      </c>
      <c r="F161" s="14">
        <f>F162+F164+F168+F166+F172+F174+F170</f>
        <v>27796.600000000002</v>
      </c>
      <c r="G161" s="30"/>
      <c r="H161" s="30"/>
      <c r="I161" s="30"/>
      <c r="J161" s="30"/>
      <c r="K161" s="3"/>
      <c r="L161" s="165">
        <f>'2016 год Приложение  5'!G130+'2016 год Приложение  5'!G393</f>
        <v>27796.600000000002</v>
      </c>
      <c r="M161" s="165">
        <f>F161-L161</f>
        <v>0</v>
      </c>
    </row>
    <row r="162" spans="1:12" ht="31.5">
      <c r="A162" s="46" t="s">
        <v>36</v>
      </c>
      <c r="B162" s="48" t="s">
        <v>218</v>
      </c>
      <c r="C162" s="48"/>
      <c r="D162" s="49">
        <f>D163</f>
        <v>25599.9</v>
      </c>
      <c r="E162" s="49">
        <f>E163</f>
        <v>0</v>
      </c>
      <c r="F162" s="49">
        <f>F163</f>
        <v>25599.9</v>
      </c>
      <c r="G162" s="30"/>
      <c r="H162" s="30"/>
      <c r="I162" s="30"/>
      <c r="J162" s="30"/>
      <c r="K162" s="3"/>
      <c r="L162" s="165"/>
    </row>
    <row r="163" spans="1:12" ht="31.5">
      <c r="A163" s="46" t="s">
        <v>15</v>
      </c>
      <c r="B163" s="48" t="s">
        <v>218</v>
      </c>
      <c r="C163" s="48" t="s">
        <v>16</v>
      </c>
      <c r="D163" s="49">
        <f>'2016 год Приложение  5'!E395</f>
        <v>25599.9</v>
      </c>
      <c r="E163" s="49">
        <f>'2016 год Приложение  5'!F395</f>
        <v>0</v>
      </c>
      <c r="F163" s="49">
        <f>'2016 год Приложение  5'!G395</f>
        <v>25599.9</v>
      </c>
      <c r="G163" s="30"/>
      <c r="H163" s="30"/>
      <c r="I163" s="30"/>
      <c r="J163" s="30"/>
      <c r="K163" s="3"/>
      <c r="L163" s="165"/>
    </row>
    <row r="164" spans="1:12" ht="47.25">
      <c r="A164" s="46" t="s">
        <v>41</v>
      </c>
      <c r="B164" s="48" t="s">
        <v>226</v>
      </c>
      <c r="C164" s="48"/>
      <c r="D164" s="49">
        <f>D165</f>
        <v>151.4</v>
      </c>
      <c r="E164" s="49">
        <f>E165</f>
        <v>0</v>
      </c>
      <c r="F164" s="49">
        <f>F165</f>
        <v>151.4</v>
      </c>
      <c r="G164" s="30"/>
      <c r="H164" s="30"/>
      <c r="I164" s="30"/>
      <c r="J164" s="30"/>
      <c r="K164" s="3"/>
      <c r="L164" s="165"/>
    </row>
    <row r="165" spans="1:12" ht="31.5">
      <c r="A165" s="46" t="s">
        <v>15</v>
      </c>
      <c r="B165" s="48" t="s">
        <v>226</v>
      </c>
      <c r="C165" s="48" t="s">
        <v>16</v>
      </c>
      <c r="D165" s="49">
        <f>'2016 год Приложение  5'!E397</f>
        <v>151.4</v>
      </c>
      <c r="E165" s="49">
        <f>'2016 год Приложение  5'!F397</f>
        <v>0</v>
      </c>
      <c r="F165" s="49">
        <f>'2016 год Приложение  5'!G397</f>
        <v>151.4</v>
      </c>
      <c r="G165" s="30"/>
      <c r="H165" s="30"/>
      <c r="I165" s="30"/>
      <c r="J165" s="30"/>
      <c r="K165" s="3"/>
      <c r="L165" s="165"/>
    </row>
    <row r="166" spans="1:12" ht="31.5">
      <c r="A166" s="46" t="s">
        <v>176</v>
      </c>
      <c r="B166" s="48" t="s">
        <v>227</v>
      </c>
      <c r="C166" s="48"/>
      <c r="D166" s="49">
        <f>D167</f>
        <v>41.3</v>
      </c>
      <c r="E166" s="49">
        <f>E167</f>
        <v>0</v>
      </c>
      <c r="F166" s="49">
        <f>F167</f>
        <v>41.3</v>
      </c>
      <c r="G166" s="30"/>
      <c r="H166" s="30"/>
      <c r="I166" s="30"/>
      <c r="J166" s="30"/>
      <c r="K166" s="3"/>
      <c r="L166" s="165"/>
    </row>
    <row r="167" spans="1:12" ht="31.5">
      <c r="A167" s="46" t="s">
        <v>15</v>
      </c>
      <c r="B167" s="48" t="s">
        <v>227</v>
      </c>
      <c r="C167" s="48" t="s">
        <v>16</v>
      </c>
      <c r="D167" s="49">
        <f>'2016 год Приложение  5'!E399</f>
        <v>41.3</v>
      </c>
      <c r="E167" s="49">
        <f>'2016 год Приложение  5'!F399</f>
        <v>0</v>
      </c>
      <c r="F167" s="49">
        <f>'2016 год Приложение  5'!G399</f>
        <v>41.3</v>
      </c>
      <c r="G167" s="30"/>
      <c r="H167" s="30"/>
      <c r="I167" s="30"/>
      <c r="J167" s="30"/>
      <c r="K167" s="3"/>
      <c r="L167" s="165"/>
    </row>
    <row r="168" spans="1:12" ht="31.5">
      <c r="A168" s="46" t="s">
        <v>139</v>
      </c>
      <c r="B168" s="48" t="s">
        <v>228</v>
      </c>
      <c r="C168" s="48"/>
      <c r="D168" s="49">
        <f>D169</f>
        <v>1100</v>
      </c>
      <c r="E168" s="49">
        <f>E169</f>
        <v>0</v>
      </c>
      <c r="F168" s="49">
        <f>F169</f>
        <v>1100</v>
      </c>
      <c r="G168" s="30"/>
      <c r="H168" s="30"/>
      <c r="I168" s="30"/>
      <c r="J168" s="30"/>
      <c r="K168" s="3"/>
      <c r="L168" s="165"/>
    </row>
    <row r="169" spans="1:12" ht="21" customHeight="1">
      <c r="A169" s="173" t="s">
        <v>140</v>
      </c>
      <c r="B169" s="48" t="s">
        <v>228</v>
      </c>
      <c r="C169" s="48" t="s">
        <v>22</v>
      </c>
      <c r="D169" s="49">
        <f>'2016 год Приложение  5'!E132</f>
        <v>1100</v>
      </c>
      <c r="E169" s="49">
        <f>'2016 год Приложение  5'!F132</f>
        <v>0</v>
      </c>
      <c r="F169" s="49">
        <f>'2016 год Приложение  5'!G132</f>
        <v>1100</v>
      </c>
      <c r="G169" s="30"/>
      <c r="H169" s="30"/>
      <c r="I169" s="30"/>
      <c r="J169" s="30"/>
      <c r="K169" s="3"/>
      <c r="L169" s="165"/>
    </row>
    <row r="170" spans="1:12" ht="114.75" customHeight="1">
      <c r="A170" s="65" t="s">
        <v>138</v>
      </c>
      <c r="B170" s="48" t="s">
        <v>219</v>
      </c>
      <c r="C170" s="48"/>
      <c r="D170" s="49">
        <f>D171</f>
        <v>204</v>
      </c>
      <c r="E170" s="49">
        <f>E171</f>
        <v>0</v>
      </c>
      <c r="F170" s="49">
        <f>F171</f>
        <v>204</v>
      </c>
      <c r="G170" s="30"/>
      <c r="H170" s="30"/>
      <c r="I170" s="30"/>
      <c r="J170" s="30"/>
      <c r="K170" s="3"/>
      <c r="L170" s="165"/>
    </row>
    <row r="171" spans="1:12" ht="32.25" customHeight="1">
      <c r="A171" s="46" t="s">
        <v>140</v>
      </c>
      <c r="B171" s="48" t="s">
        <v>219</v>
      </c>
      <c r="C171" s="48" t="s">
        <v>22</v>
      </c>
      <c r="D171" s="49">
        <f>'2016 год Приложение  5'!E401</f>
        <v>204</v>
      </c>
      <c r="E171" s="49">
        <f>'2016 год Приложение  5'!F401</f>
        <v>0</v>
      </c>
      <c r="F171" s="49">
        <f>'2016 год Приложение  5'!G401</f>
        <v>204</v>
      </c>
      <c r="G171" s="30"/>
      <c r="H171" s="30"/>
      <c r="I171" s="30"/>
      <c r="J171" s="30"/>
      <c r="K171" s="3"/>
      <c r="L171" s="165"/>
    </row>
    <row r="172" spans="1:12" ht="31.5">
      <c r="A172" s="46" t="s">
        <v>179</v>
      </c>
      <c r="B172" s="48" t="s">
        <v>229</v>
      </c>
      <c r="C172" s="48"/>
      <c r="D172" s="49">
        <f>'2016 год Приложение  5'!E134</f>
        <v>250</v>
      </c>
      <c r="E172" s="49">
        <f>'2016 год Приложение  5'!F134</f>
        <v>0</v>
      </c>
      <c r="F172" s="49">
        <f>'2016 год Приложение  5'!G134</f>
        <v>250</v>
      </c>
      <c r="G172" s="30"/>
      <c r="H172" s="30"/>
      <c r="I172" s="30"/>
      <c r="J172" s="30"/>
      <c r="K172" s="3"/>
      <c r="L172" s="165"/>
    </row>
    <row r="173" spans="1:12" ht="31.5">
      <c r="A173" s="46" t="s">
        <v>18</v>
      </c>
      <c r="B173" s="48" t="s">
        <v>229</v>
      </c>
      <c r="C173" s="48" t="s">
        <v>13</v>
      </c>
      <c r="D173" s="49">
        <f>'2016 год Приложение  5'!E134</f>
        <v>250</v>
      </c>
      <c r="E173" s="49">
        <f>'2016 год Приложение  5'!F134</f>
        <v>0</v>
      </c>
      <c r="F173" s="49">
        <f>'2016 год Приложение  5'!G134</f>
        <v>250</v>
      </c>
      <c r="G173" s="30"/>
      <c r="H173" s="30"/>
      <c r="I173" s="30"/>
      <c r="J173" s="30"/>
      <c r="K173" s="3"/>
      <c r="L173" s="165"/>
    </row>
    <row r="174" spans="1:12" ht="47.25">
      <c r="A174" s="46" t="s">
        <v>180</v>
      </c>
      <c r="B174" s="48" t="s">
        <v>230</v>
      </c>
      <c r="C174" s="48"/>
      <c r="D174" s="49">
        <f>D175</f>
        <v>450</v>
      </c>
      <c r="E174" s="49">
        <f>E175</f>
        <v>0</v>
      </c>
      <c r="F174" s="49">
        <f>F175</f>
        <v>450</v>
      </c>
      <c r="G174" s="30"/>
      <c r="H174" s="30"/>
      <c r="I174" s="30"/>
      <c r="J174" s="30"/>
      <c r="K174" s="3"/>
      <c r="L174" s="165"/>
    </row>
    <row r="175" spans="1:12" ht="31.5">
      <c r="A175" s="46" t="s">
        <v>18</v>
      </c>
      <c r="B175" s="48" t="s">
        <v>230</v>
      </c>
      <c r="C175" s="48" t="s">
        <v>13</v>
      </c>
      <c r="D175" s="49">
        <f>'2016 год Приложение  5'!E136</f>
        <v>450</v>
      </c>
      <c r="E175" s="49">
        <f>'2016 год Приложение  5'!F136</f>
        <v>0</v>
      </c>
      <c r="F175" s="49">
        <f>'2016 год Приложение  5'!G136</f>
        <v>450</v>
      </c>
      <c r="G175" s="30"/>
      <c r="H175" s="30"/>
      <c r="I175" s="30"/>
      <c r="J175" s="30"/>
      <c r="K175" s="3"/>
      <c r="L175" s="165"/>
    </row>
    <row r="176" spans="1:13" ht="31.5">
      <c r="A176" s="12" t="s">
        <v>121</v>
      </c>
      <c r="B176" s="13" t="s">
        <v>231</v>
      </c>
      <c r="C176" s="13" t="s">
        <v>0</v>
      </c>
      <c r="D176" s="14">
        <f>D179+D177</f>
        <v>5223.1</v>
      </c>
      <c r="E176" s="14">
        <f>E179+E177</f>
        <v>0</v>
      </c>
      <c r="F176" s="14">
        <f>F179+F177</f>
        <v>5223.1</v>
      </c>
      <c r="G176" s="30"/>
      <c r="H176" s="30"/>
      <c r="I176" s="30"/>
      <c r="J176" s="30"/>
      <c r="K176" s="3"/>
      <c r="L176" s="165">
        <f>'2016 год Приложение  5'!G402</f>
        <v>5223.1</v>
      </c>
      <c r="M176" s="165">
        <f>F176-L176</f>
        <v>0</v>
      </c>
    </row>
    <row r="177" spans="1:12" s="184" customFormat="1" ht="31.5">
      <c r="A177" s="27" t="s">
        <v>181</v>
      </c>
      <c r="B177" s="180" t="s">
        <v>402</v>
      </c>
      <c r="C177" s="40"/>
      <c r="D177" s="41">
        <f>D178</f>
        <v>2148.3</v>
      </c>
      <c r="E177" s="41">
        <f>E178</f>
        <v>0</v>
      </c>
      <c r="F177" s="41">
        <f>F178</f>
        <v>2148.3</v>
      </c>
      <c r="G177" s="182"/>
      <c r="H177" s="182"/>
      <c r="I177" s="182"/>
      <c r="J177" s="182"/>
      <c r="K177" s="183"/>
      <c r="L177" s="196"/>
    </row>
    <row r="178" spans="1:12" s="184" customFormat="1" ht="31.5">
      <c r="A178" s="46" t="s">
        <v>15</v>
      </c>
      <c r="B178" s="180" t="s">
        <v>402</v>
      </c>
      <c r="C178" s="40" t="s">
        <v>16</v>
      </c>
      <c r="D178" s="41">
        <f>'2016 год Приложение  5'!E404</f>
        <v>2148.3</v>
      </c>
      <c r="E178" s="41">
        <f>'2016 год Приложение  5'!F404</f>
        <v>0</v>
      </c>
      <c r="F178" s="41">
        <f>'2016 год Приложение  5'!G404</f>
        <v>2148.3</v>
      </c>
      <c r="G178" s="182"/>
      <c r="H178" s="182"/>
      <c r="I178" s="182"/>
      <c r="J178" s="182"/>
      <c r="K178" s="183"/>
      <c r="L178" s="196"/>
    </row>
    <row r="179" spans="1:12" ht="31.5">
      <c r="A179" s="46" t="s">
        <v>407</v>
      </c>
      <c r="B179" s="48" t="s">
        <v>339</v>
      </c>
      <c r="C179" s="48"/>
      <c r="D179" s="49">
        <f>D180+D181</f>
        <v>3074.8</v>
      </c>
      <c r="E179" s="49">
        <f>E180+E181</f>
        <v>0</v>
      </c>
      <c r="F179" s="49">
        <f>F180+F181</f>
        <v>3074.8</v>
      </c>
      <c r="G179" s="30"/>
      <c r="H179" s="30"/>
      <c r="I179" s="30"/>
      <c r="J179" s="30"/>
      <c r="K179" s="3"/>
      <c r="L179" s="165"/>
    </row>
    <row r="180" spans="1:12" ht="31.5">
      <c r="A180" s="46" t="s">
        <v>18</v>
      </c>
      <c r="B180" s="48" t="s">
        <v>339</v>
      </c>
      <c r="C180" s="48" t="s">
        <v>13</v>
      </c>
      <c r="D180" s="49">
        <f>'2016 год Приложение  5'!E406</f>
        <v>405</v>
      </c>
      <c r="E180" s="49">
        <f>'2016 год Приложение  5'!F406</f>
        <v>0</v>
      </c>
      <c r="F180" s="49">
        <f>D180+E180</f>
        <v>405</v>
      </c>
      <c r="G180" s="30"/>
      <c r="H180" s="30"/>
      <c r="I180" s="30"/>
      <c r="J180" s="30"/>
      <c r="K180" s="3"/>
      <c r="L180" s="165"/>
    </row>
    <row r="181" spans="1:12" ht="31.5">
      <c r="A181" s="46" t="s">
        <v>15</v>
      </c>
      <c r="B181" s="48" t="s">
        <v>339</v>
      </c>
      <c r="C181" s="48" t="s">
        <v>16</v>
      </c>
      <c r="D181" s="49">
        <f>'2016 год Приложение  5'!E407</f>
        <v>2669.8</v>
      </c>
      <c r="E181" s="49">
        <f>'2016 год Приложение  5'!F407</f>
        <v>0</v>
      </c>
      <c r="F181" s="49">
        <f>D181+E181</f>
        <v>2669.8</v>
      </c>
      <c r="G181" s="30"/>
      <c r="H181" s="30"/>
      <c r="I181" s="30"/>
      <c r="J181" s="30"/>
      <c r="K181" s="3"/>
      <c r="L181" s="165"/>
    </row>
    <row r="182" spans="1:13" ht="31.5">
      <c r="A182" s="12" t="s">
        <v>113</v>
      </c>
      <c r="B182" s="13" t="s">
        <v>220</v>
      </c>
      <c r="C182" s="13" t="s">
        <v>0</v>
      </c>
      <c r="D182" s="14">
        <f>D183+D187</f>
        <v>58466.100000000006</v>
      </c>
      <c r="E182" s="14">
        <f>E183+E187</f>
        <v>0</v>
      </c>
      <c r="F182" s="14">
        <f>F183+F187</f>
        <v>58466.100000000006</v>
      </c>
      <c r="G182" s="30"/>
      <c r="H182" s="30"/>
      <c r="I182" s="30"/>
      <c r="J182" s="30"/>
      <c r="K182" s="3"/>
      <c r="L182" s="165">
        <f>'2016 год Приложение  5'!G408</f>
        <v>58466.100000000006</v>
      </c>
      <c r="M182" s="165">
        <f>F182-L182</f>
        <v>0</v>
      </c>
    </row>
    <row r="183" spans="1:12" ht="31.5">
      <c r="A183" s="46" t="s">
        <v>19</v>
      </c>
      <c r="B183" s="48" t="s">
        <v>221</v>
      </c>
      <c r="C183" s="48"/>
      <c r="D183" s="49">
        <f>D184+D185+D186</f>
        <v>30232.100000000002</v>
      </c>
      <c r="E183" s="49">
        <f>E184+E185+E186</f>
        <v>0</v>
      </c>
      <c r="F183" s="49">
        <f>F184+F185+F186</f>
        <v>30232.100000000002</v>
      </c>
      <c r="G183" s="30"/>
      <c r="H183" s="30"/>
      <c r="I183" s="30"/>
      <c r="J183" s="30"/>
      <c r="K183" s="3"/>
      <c r="L183" s="165"/>
    </row>
    <row r="184" spans="1:12" ht="78.75">
      <c r="A184" s="46" t="s">
        <v>20</v>
      </c>
      <c r="B184" s="48" t="s">
        <v>221</v>
      </c>
      <c r="C184" s="48" t="s">
        <v>21</v>
      </c>
      <c r="D184" s="49">
        <f>'2016 год Приложение  5'!E410</f>
        <v>25537.9</v>
      </c>
      <c r="E184" s="49">
        <f>'2016 год Приложение  5'!F410</f>
        <v>0</v>
      </c>
      <c r="F184" s="49">
        <f>'2016 год Приложение  5'!G410</f>
        <v>25537.9</v>
      </c>
      <c r="G184" s="30"/>
      <c r="H184" s="30"/>
      <c r="I184" s="30"/>
      <c r="J184" s="30"/>
      <c r="K184" s="3"/>
      <c r="L184" s="165"/>
    </row>
    <row r="185" spans="1:12" ht="31.5">
      <c r="A185" s="46" t="s">
        <v>18</v>
      </c>
      <c r="B185" s="48" t="s">
        <v>221</v>
      </c>
      <c r="C185" s="48" t="s">
        <v>13</v>
      </c>
      <c r="D185" s="49">
        <f>'2016 год Приложение  5'!E411</f>
        <v>4536.200000000001</v>
      </c>
      <c r="E185" s="49">
        <f>'2016 год Приложение  5'!F411</f>
        <v>0</v>
      </c>
      <c r="F185" s="49">
        <f>'2016 год Приложение  5'!G411</f>
        <v>4536.200000000001</v>
      </c>
      <c r="G185" s="30"/>
      <c r="H185" s="30"/>
      <c r="I185" s="30"/>
      <c r="J185" s="30"/>
      <c r="K185" s="3"/>
      <c r="L185" s="165"/>
    </row>
    <row r="186" spans="1:12" ht="15.75">
      <c r="A186" s="90" t="s">
        <v>14</v>
      </c>
      <c r="B186" s="48" t="s">
        <v>221</v>
      </c>
      <c r="C186" s="48" t="s">
        <v>17</v>
      </c>
      <c r="D186" s="49">
        <f>'2016 год Приложение  5'!E412</f>
        <v>158</v>
      </c>
      <c r="E186" s="49">
        <f>'2016 год Приложение  5'!F412</f>
        <v>0</v>
      </c>
      <c r="F186" s="49">
        <f>'2016 год Приложение  5'!G412</f>
        <v>158</v>
      </c>
      <c r="G186" s="30"/>
      <c r="H186" s="30"/>
      <c r="I186" s="30"/>
      <c r="J186" s="30"/>
      <c r="K186" s="3"/>
      <c r="L186" s="165"/>
    </row>
    <row r="187" spans="1:12" ht="31.5">
      <c r="A187" s="46" t="s">
        <v>83</v>
      </c>
      <c r="B187" s="48" t="s">
        <v>222</v>
      </c>
      <c r="C187" s="48"/>
      <c r="D187" s="49">
        <f>D188+D189</f>
        <v>28234</v>
      </c>
      <c r="E187" s="49">
        <f>E188+E189</f>
        <v>0</v>
      </c>
      <c r="F187" s="49">
        <f>F188+F189</f>
        <v>28234</v>
      </c>
      <c r="G187" s="30"/>
      <c r="H187" s="30"/>
      <c r="I187" s="30"/>
      <c r="J187" s="30"/>
      <c r="K187" s="3"/>
      <c r="L187" s="165"/>
    </row>
    <row r="188" spans="1:12" ht="78.75">
      <c r="A188" s="46" t="s">
        <v>20</v>
      </c>
      <c r="B188" s="48" t="s">
        <v>222</v>
      </c>
      <c r="C188" s="48" t="s">
        <v>21</v>
      </c>
      <c r="D188" s="49">
        <f>'2016 год Приложение  5'!E414</f>
        <v>26730.8</v>
      </c>
      <c r="E188" s="49">
        <f>'2016 год Приложение  5'!F414</f>
        <v>0</v>
      </c>
      <c r="F188" s="49">
        <f>'2016 год Приложение  5'!G414</f>
        <v>26730.8</v>
      </c>
      <c r="G188" s="30"/>
      <c r="H188" s="30"/>
      <c r="I188" s="30"/>
      <c r="J188" s="30"/>
      <c r="K188" s="3"/>
      <c r="L188" s="165"/>
    </row>
    <row r="189" spans="1:12" ht="31.5">
      <c r="A189" s="46" t="s">
        <v>18</v>
      </c>
      <c r="B189" s="48" t="s">
        <v>222</v>
      </c>
      <c r="C189" s="48" t="s">
        <v>13</v>
      </c>
      <c r="D189" s="49">
        <f>'2016 год Приложение  5'!E415</f>
        <v>1503.2</v>
      </c>
      <c r="E189" s="49">
        <f>'2016 год Приложение  5'!F415</f>
        <v>0</v>
      </c>
      <c r="F189" s="49">
        <f>'2016 год Приложение  5'!G415</f>
        <v>1503.2</v>
      </c>
      <c r="G189" s="30"/>
      <c r="H189" s="30"/>
      <c r="I189" s="30"/>
      <c r="J189" s="30"/>
      <c r="K189" s="3"/>
      <c r="L189" s="165"/>
    </row>
    <row r="190" spans="1:13" ht="31.5">
      <c r="A190" s="34" t="s">
        <v>122</v>
      </c>
      <c r="B190" s="35" t="s">
        <v>242</v>
      </c>
      <c r="C190" s="35" t="s">
        <v>0</v>
      </c>
      <c r="D190" s="36">
        <f>D191+D208+D210+D212+D214+D216+D221+D225+D197+D199+D193+D195+D204+D206+D202+D219</f>
        <v>127265.2</v>
      </c>
      <c r="E190" s="36">
        <f>E191+E208+E210+E212+E214+E216+E221+E225+E197+E199+E193+E195+E204+E206+E202+E219</f>
        <v>5.684341886080802E-14</v>
      </c>
      <c r="F190" s="36">
        <f>F191+F208+F210+F212+F214+F216+F221+F225+F197+F199+F193+F195+F204+F206+F202+F219</f>
        <v>127265.2</v>
      </c>
      <c r="G190" s="30"/>
      <c r="H190" s="30"/>
      <c r="I190" s="30"/>
      <c r="J190" s="30"/>
      <c r="K190" s="3"/>
      <c r="L190" s="165">
        <f>'2016 год Приложение  5'!G277</f>
        <v>127265.2</v>
      </c>
      <c r="M190" s="195">
        <f>F190-L190</f>
        <v>0</v>
      </c>
    </row>
    <row r="191" spans="1:12" ht="31.5">
      <c r="A191" s="46" t="s">
        <v>387</v>
      </c>
      <c r="B191" s="48" t="s">
        <v>241</v>
      </c>
      <c r="C191" s="48"/>
      <c r="D191" s="24">
        <f>D192</f>
        <v>27877.1</v>
      </c>
      <c r="E191" s="24">
        <f>E192</f>
        <v>0</v>
      </c>
      <c r="F191" s="24">
        <f>F192</f>
        <v>27877.1</v>
      </c>
      <c r="G191" s="30"/>
      <c r="H191" s="30"/>
      <c r="I191" s="30"/>
      <c r="J191" s="30"/>
      <c r="K191" s="3"/>
      <c r="L191" s="165"/>
    </row>
    <row r="192" spans="1:12" ht="31.5">
      <c r="A192" s="88" t="s">
        <v>15</v>
      </c>
      <c r="B192" s="48" t="s">
        <v>241</v>
      </c>
      <c r="C192" s="48" t="s">
        <v>16</v>
      </c>
      <c r="D192" s="24">
        <f>'2016 год Приложение  5'!E279</f>
        <v>27877.1</v>
      </c>
      <c r="E192" s="24">
        <f>'2016 год Приложение  5'!F279</f>
        <v>0</v>
      </c>
      <c r="F192" s="24">
        <f>'2016 год Приложение  5'!G279</f>
        <v>27877.1</v>
      </c>
      <c r="G192" s="30"/>
      <c r="H192" s="30"/>
      <c r="I192" s="30"/>
      <c r="J192" s="30"/>
      <c r="K192" s="3"/>
      <c r="L192" s="165"/>
    </row>
    <row r="193" spans="1:12" ht="31.5">
      <c r="A193" s="26" t="s">
        <v>374</v>
      </c>
      <c r="B193" s="48" t="s">
        <v>373</v>
      </c>
      <c r="C193" s="48"/>
      <c r="D193" s="24">
        <f>D194</f>
        <v>150</v>
      </c>
      <c r="E193" s="24">
        <f>E194</f>
        <v>0</v>
      </c>
      <c r="F193" s="24">
        <f>F194</f>
        <v>150</v>
      </c>
      <c r="G193" s="30"/>
      <c r="H193" s="30"/>
      <c r="I193" s="30"/>
      <c r="J193" s="30"/>
      <c r="K193" s="3"/>
      <c r="L193" s="165"/>
    </row>
    <row r="194" spans="1:12" ht="31.5">
      <c r="A194" s="87" t="s">
        <v>15</v>
      </c>
      <c r="B194" s="48" t="s">
        <v>373</v>
      </c>
      <c r="C194" s="48" t="s">
        <v>16</v>
      </c>
      <c r="D194" s="24">
        <f>'2016 год Приложение  5'!E281</f>
        <v>150</v>
      </c>
      <c r="E194" s="24">
        <f>'2016 год Приложение  5'!F281</f>
        <v>0</v>
      </c>
      <c r="F194" s="24">
        <f>D194+E194</f>
        <v>150</v>
      </c>
      <c r="G194" s="30"/>
      <c r="H194" s="30"/>
      <c r="I194" s="30"/>
      <c r="J194" s="30"/>
      <c r="K194" s="3"/>
      <c r="L194" s="165"/>
    </row>
    <row r="195" spans="1:12" ht="31.5">
      <c r="A195" s="26" t="s">
        <v>412</v>
      </c>
      <c r="B195" s="48" t="s">
        <v>413</v>
      </c>
      <c r="C195" s="48"/>
      <c r="D195" s="24">
        <f>D196</f>
        <v>81.5</v>
      </c>
      <c r="E195" s="24">
        <f>E196</f>
        <v>0</v>
      </c>
      <c r="F195" s="24">
        <f>F196</f>
        <v>81.5</v>
      </c>
      <c r="G195" s="30"/>
      <c r="H195" s="30"/>
      <c r="I195" s="30"/>
      <c r="J195" s="30"/>
      <c r="K195" s="3"/>
      <c r="L195" s="165"/>
    </row>
    <row r="196" spans="1:12" ht="31.5">
      <c r="A196" s="26" t="s">
        <v>15</v>
      </c>
      <c r="B196" s="48" t="s">
        <v>413</v>
      </c>
      <c r="C196" s="48" t="s">
        <v>16</v>
      </c>
      <c r="D196" s="24">
        <f>'2016 год Приложение  5'!E283</f>
        <v>81.5</v>
      </c>
      <c r="E196" s="24">
        <f>'2016 год Приложение  5'!F283</f>
        <v>0</v>
      </c>
      <c r="F196" s="24">
        <f>D196+E196</f>
        <v>81.5</v>
      </c>
      <c r="G196" s="30"/>
      <c r="H196" s="30"/>
      <c r="I196" s="30"/>
      <c r="J196" s="30"/>
      <c r="K196" s="3"/>
      <c r="L196" s="165"/>
    </row>
    <row r="197" spans="1:12" ht="47.25">
      <c r="A197" s="26" t="s">
        <v>363</v>
      </c>
      <c r="B197" s="48" t="s">
        <v>364</v>
      </c>
      <c r="C197" s="48"/>
      <c r="D197" s="24">
        <f>D198</f>
        <v>17.3</v>
      </c>
      <c r="E197" s="24">
        <f>'2016 год Приложение  5'!F284</f>
        <v>0</v>
      </c>
      <c r="F197" s="24">
        <f>F198</f>
        <v>17.3</v>
      </c>
      <c r="G197" s="30"/>
      <c r="H197" s="30"/>
      <c r="I197" s="30"/>
      <c r="J197" s="30"/>
      <c r="K197" s="3"/>
      <c r="L197" s="165"/>
    </row>
    <row r="198" spans="1:12" ht="31.5">
      <c r="A198" s="26" t="s">
        <v>15</v>
      </c>
      <c r="B198" s="48" t="s">
        <v>364</v>
      </c>
      <c r="C198" s="48" t="s">
        <v>16</v>
      </c>
      <c r="D198" s="24">
        <f>'2016 год Приложение  5'!E285</f>
        <v>17.3</v>
      </c>
      <c r="E198" s="24">
        <f>'2016 год Приложение  5'!F285</f>
        <v>0</v>
      </c>
      <c r="F198" s="24">
        <f>D198+E198</f>
        <v>17.3</v>
      </c>
      <c r="G198" s="30"/>
      <c r="H198" s="30"/>
      <c r="I198" s="30"/>
      <c r="J198" s="30"/>
      <c r="K198" s="3"/>
      <c r="L198" s="165"/>
    </row>
    <row r="199" spans="1:12" ht="31.5">
      <c r="A199" s="26" t="s">
        <v>372</v>
      </c>
      <c r="B199" s="48" t="s">
        <v>365</v>
      </c>
      <c r="C199" s="48"/>
      <c r="D199" s="24">
        <f>D200+D201</f>
        <v>135.9</v>
      </c>
      <c r="E199" s="24">
        <f>E200+E201</f>
        <v>0</v>
      </c>
      <c r="F199" s="24">
        <f>F200+F201</f>
        <v>135.9</v>
      </c>
      <c r="G199" s="30"/>
      <c r="H199" s="30"/>
      <c r="I199" s="30"/>
      <c r="J199" s="30"/>
      <c r="K199" s="3"/>
      <c r="L199" s="165"/>
    </row>
    <row r="200" spans="1:12" ht="15.75">
      <c r="A200" s="26" t="s">
        <v>61</v>
      </c>
      <c r="B200" s="48" t="s">
        <v>365</v>
      </c>
      <c r="C200" s="48" t="s">
        <v>62</v>
      </c>
      <c r="D200" s="24">
        <f>'2016 год Приложение  5'!E287</f>
        <v>36.5</v>
      </c>
      <c r="E200" s="24">
        <f>'2016 год Приложение  5'!F287</f>
        <v>0</v>
      </c>
      <c r="F200" s="24">
        <f>D200+E200</f>
        <v>36.5</v>
      </c>
      <c r="G200" s="30"/>
      <c r="H200" s="30"/>
      <c r="I200" s="30"/>
      <c r="J200" s="30"/>
      <c r="K200" s="3"/>
      <c r="L200" s="165"/>
    </row>
    <row r="201" spans="1:12" ht="31.5">
      <c r="A201" s="26" t="s">
        <v>15</v>
      </c>
      <c r="B201" s="48" t="s">
        <v>365</v>
      </c>
      <c r="C201" s="48" t="s">
        <v>16</v>
      </c>
      <c r="D201" s="24">
        <f>'2016 год Приложение  5'!E288</f>
        <v>99.4</v>
      </c>
      <c r="E201" s="24">
        <f>'2016 год Приложение  5'!F288</f>
        <v>0</v>
      </c>
      <c r="F201" s="24">
        <f>D201+E201</f>
        <v>99.4</v>
      </c>
      <c r="G201" s="30"/>
      <c r="H201" s="30"/>
      <c r="I201" s="30"/>
      <c r="J201" s="30"/>
      <c r="K201" s="3"/>
      <c r="L201" s="165"/>
    </row>
    <row r="202" spans="1:12" ht="31.5">
      <c r="A202" s="26" t="s">
        <v>344</v>
      </c>
      <c r="B202" s="48" t="s">
        <v>366</v>
      </c>
      <c r="C202" s="48"/>
      <c r="D202" s="24">
        <f>D203</f>
        <v>100.5</v>
      </c>
      <c r="E202" s="24">
        <f>E203</f>
        <v>0</v>
      </c>
      <c r="F202" s="24">
        <f>F203</f>
        <v>100.5</v>
      </c>
      <c r="G202" s="30">
        <f>F202+F199+F206</f>
        <v>286.4</v>
      </c>
      <c r="H202" s="30"/>
      <c r="I202" s="30"/>
      <c r="J202" s="30"/>
      <c r="K202" s="3"/>
      <c r="L202" s="165"/>
    </row>
    <row r="203" spans="1:12" ht="31.5">
      <c r="A203" s="26" t="s">
        <v>15</v>
      </c>
      <c r="B203" s="48" t="s">
        <v>366</v>
      </c>
      <c r="C203" s="48" t="s">
        <v>16</v>
      </c>
      <c r="D203" s="24">
        <f>'2016 год Приложение  5'!E289</f>
        <v>100.5</v>
      </c>
      <c r="E203" s="24">
        <f>'2016 год Приложение  5'!F289</f>
        <v>0</v>
      </c>
      <c r="F203" s="24">
        <f>D203+E203</f>
        <v>100.5</v>
      </c>
      <c r="G203" s="30"/>
      <c r="H203" s="30"/>
      <c r="I203" s="30"/>
      <c r="J203" s="30"/>
      <c r="K203" s="3"/>
      <c r="L203" s="165"/>
    </row>
    <row r="204" spans="1:12" ht="31.5">
      <c r="A204" s="26" t="s">
        <v>343</v>
      </c>
      <c r="B204" s="48" t="s">
        <v>414</v>
      </c>
      <c r="C204" s="48"/>
      <c r="D204" s="24">
        <f>D205</f>
        <v>50</v>
      </c>
      <c r="E204" s="24">
        <f>E205</f>
        <v>0</v>
      </c>
      <c r="F204" s="24">
        <f>F205</f>
        <v>50</v>
      </c>
      <c r="G204" s="30"/>
      <c r="H204" s="30"/>
      <c r="I204" s="30"/>
      <c r="J204" s="30"/>
      <c r="K204" s="3"/>
      <c r="L204" s="165"/>
    </row>
    <row r="205" spans="1:12" ht="31.5">
      <c r="A205" s="26" t="s">
        <v>15</v>
      </c>
      <c r="B205" s="48" t="s">
        <v>414</v>
      </c>
      <c r="C205" s="48" t="s">
        <v>16</v>
      </c>
      <c r="D205" s="24">
        <f>'2016 год Приложение  5'!E292</f>
        <v>50</v>
      </c>
      <c r="E205" s="24">
        <f>'2016 год Приложение  5'!F292</f>
        <v>0</v>
      </c>
      <c r="F205" s="24">
        <f>'2016 год Приложение  5'!G292</f>
        <v>50</v>
      </c>
      <c r="G205" s="30"/>
      <c r="H205" s="30"/>
      <c r="I205" s="30"/>
      <c r="J205" s="30"/>
      <c r="K205" s="3"/>
      <c r="L205" s="165"/>
    </row>
    <row r="206" spans="1:12" ht="31.5">
      <c r="A206" s="26" t="s">
        <v>343</v>
      </c>
      <c r="B206" s="48" t="s">
        <v>415</v>
      </c>
      <c r="C206" s="48"/>
      <c r="D206" s="24">
        <f>D207</f>
        <v>50</v>
      </c>
      <c r="E206" s="24">
        <f>E207</f>
        <v>0</v>
      </c>
      <c r="F206" s="24">
        <f>F207</f>
        <v>50</v>
      </c>
      <c r="G206" s="30"/>
      <c r="H206" s="30"/>
      <c r="I206" s="30"/>
      <c r="J206" s="30"/>
      <c r="K206" s="3"/>
      <c r="L206" s="165"/>
    </row>
    <row r="207" spans="1:12" ht="31.5">
      <c r="A207" s="26" t="s">
        <v>15</v>
      </c>
      <c r="B207" s="48" t="s">
        <v>415</v>
      </c>
      <c r="C207" s="48" t="s">
        <v>16</v>
      </c>
      <c r="D207" s="24">
        <f>'2016 год Приложение  5'!E294</f>
        <v>50</v>
      </c>
      <c r="E207" s="24">
        <f>'2016 год Приложение  5'!F294</f>
        <v>0</v>
      </c>
      <c r="F207" s="24">
        <f>'2016 год Приложение  5'!G294</f>
        <v>50</v>
      </c>
      <c r="G207" s="30"/>
      <c r="H207" s="30"/>
      <c r="I207" s="30"/>
      <c r="J207" s="30"/>
      <c r="K207" s="3"/>
      <c r="L207" s="165"/>
    </row>
    <row r="208" spans="1:12" ht="31.5">
      <c r="A208" s="46" t="s">
        <v>343</v>
      </c>
      <c r="B208" s="48" t="s">
        <v>341</v>
      </c>
      <c r="C208" s="48"/>
      <c r="D208" s="24">
        <f>D209</f>
        <v>99.4</v>
      </c>
      <c r="E208" s="24">
        <f>E209</f>
        <v>0</v>
      </c>
      <c r="F208" s="24">
        <f>F209</f>
        <v>99.4</v>
      </c>
      <c r="G208" s="30">
        <f>F208+F210+F204</f>
        <v>249.9</v>
      </c>
      <c r="H208" s="30"/>
      <c r="I208" s="30"/>
      <c r="J208" s="30"/>
      <c r="K208" s="3"/>
      <c r="L208" s="165"/>
    </row>
    <row r="209" spans="1:12" ht="31.5">
      <c r="A209" s="88" t="s">
        <v>15</v>
      </c>
      <c r="B209" s="48" t="s">
        <v>341</v>
      </c>
      <c r="C209" s="48" t="s">
        <v>16</v>
      </c>
      <c r="D209" s="24">
        <f>'2016 год Приложение  5'!E296</f>
        <v>99.4</v>
      </c>
      <c r="E209" s="24">
        <f>'2016 год Приложение  5'!F296</f>
        <v>0</v>
      </c>
      <c r="F209" s="24">
        <f>'2016 год Приложение  5'!G296</f>
        <v>99.4</v>
      </c>
      <c r="G209" s="30"/>
      <c r="H209" s="30"/>
      <c r="I209" s="30"/>
      <c r="J209" s="30"/>
      <c r="K209" s="3"/>
      <c r="L209" s="165"/>
    </row>
    <row r="210" spans="1:12" ht="31.5">
      <c r="A210" s="46" t="s">
        <v>344</v>
      </c>
      <c r="B210" s="48" t="s">
        <v>342</v>
      </c>
      <c r="C210" s="48"/>
      <c r="D210" s="24">
        <f>D211</f>
        <v>100.5</v>
      </c>
      <c r="E210" s="24">
        <f>E211</f>
        <v>0</v>
      </c>
      <c r="F210" s="24">
        <f>F211</f>
        <v>100.5</v>
      </c>
      <c r="G210" s="30"/>
      <c r="H210" s="30"/>
      <c r="I210" s="30"/>
      <c r="J210" s="30"/>
      <c r="K210" s="3"/>
      <c r="L210" s="165"/>
    </row>
    <row r="211" spans="1:12" ht="31.5">
      <c r="A211" s="88" t="s">
        <v>15</v>
      </c>
      <c r="B211" s="48" t="s">
        <v>342</v>
      </c>
      <c r="C211" s="48" t="s">
        <v>16</v>
      </c>
      <c r="D211" s="24">
        <f>'2016 год Приложение  5'!E298</f>
        <v>100.5</v>
      </c>
      <c r="E211" s="24">
        <f>'2016 год Приложение  5'!F298</f>
        <v>0</v>
      </c>
      <c r="F211" s="24">
        <f>'2016 год Приложение  5'!G298</f>
        <v>100.5</v>
      </c>
      <c r="G211" s="30"/>
      <c r="H211" s="30"/>
      <c r="I211" s="30"/>
      <c r="J211" s="30"/>
      <c r="K211" s="3"/>
      <c r="L211" s="165"/>
    </row>
    <row r="212" spans="1:12" ht="31.5">
      <c r="A212" s="46" t="s">
        <v>75</v>
      </c>
      <c r="B212" s="48" t="s">
        <v>243</v>
      </c>
      <c r="C212" s="48"/>
      <c r="D212" s="49">
        <f>D213</f>
        <v>44670.1</v>
      </c>
      <c r="E212" s="49">
        <f>E213</f>
        <v>0</v>
      </c>
      <c r="F212" s="49">
        <f>F213</f>
        <v>44670.1</v>
      </c>
      <c r="G212" s="30"/>
      <c r="H212" s="30"/>
      <c r="I212" s="30"/>
      <c r="J212" s="30"/>
      <c r="K212" s="3"/>
      <c r="L212" s="165"/>
    </row>
    <row r="213" spans="1:12" ht="31.5">
      <c r="A213" s="88" t="s">
        <v>15</v>
      </c>
      <c r="B213" s="48" t="s">
        <v>243</v>
      </c>
      <c r="C213" s="48" t="s">
        <v>16</v>
      </c>
      <c r="D213" s="24">
        <f>'2016 год Приложение  5'!E300</f>
        <v>44670.1</v>
      </c>
      <c r="E213" s="24">
        <f>'2016 год Приложение  5'!F300</f>
        <v>0</v>
      </c>
      <c r="F213" s="24">
        <f>'2016 год Приложение  5'!G300</f>
        <v>44670.1</v>
      </c>
      <c r="G213" s="30"/>
      <c r="H213" s="30"/>
      <c r="I213" s="30"/>
      <c r="J213" s="30"/>
      <c r="K213" s="3"/>
      <c r="L213" s="165"/>
    </row>
    <row r="214" spans="1:12" ht="47.25">
      <c r="A214" s="46" t="s">
        <v>74</v>
      </c>
      <c r="B214" s="48" t="s">
        <v>244</v>
      </c>
      <c r="C214" s="48"/>
      <c r="D214" s="49">
        <f>D215</f>
        <v>21972</v>
      </c>
      <c r="E214" s="49">
        <f>E215</f>
        <v>0</v>
      </c>
      <c r="F214" s="49">
        <f>F215</f>
        <v>21972</v>
      </c>
      <c r="G214" s="30"/>
      <c r="H214" s="30"/>
      <c r="I214" s="30"/>
      <c r="J214" s="30"/>
      <c r="K214" s="3"/>
      <c r="L214" s="165"/>
    </row>
    <row r="215" spans="1:12" ht="31.5">
      <c r="A215" s="164" t="s">
        <v>15</v>
      </c>
      <c r="B215" s="48" t="s">
        <v>244</v>
      </c>
      <c r="C215" s="48" t="s">
        <v>16</v>
      </c>
      <c r="D215" s="24">
        <f>'2016 год Приложение  5'!E302</f>
        <v>21972</v>
      </c>
      <c r="E215" s="24">
        <f>'2016 год Приложение  5'!F302</f>
        <v>0</v>
      </c>
      <c r="F215" s="24">
        <f>'2016 год Приложение  5'!G302</f>
        <v>21972</v>
      </c>
      <c r="G215" s="30"/>
      <c r="H215" s="30"/>
      <c r="I215" s="30"/>
      <c r="J215" s="30"/>
      <c r="K215" s="3"/>
      <c r="L215" s="165"/>
    </row>
    <row r="216" spans="1:12" ht="15.75">
      <c r="A216" s="46" t="s">
        <v>325</v>
      </c>
      <c r="B216" s="48" t="s">
        <v>326</v>
      </c>
      <c r="C216" s="48"/>
      <c r="D216" s="24">
        <f>'2016 год Приложение  5'!E303</f>
        <v>20</v>
      </c>
      <c r="E216" s="24">
        <f>'2016 год Приложение  5'!F303</f>
        <v>0</v>
      </c>
      <c r="F216" s="24">
        <f>'2016 год Приложение  5'!G303</f>
        <v>20</v>
      </c>
      <c r="G216" s="30"/>
      <c r="H216" s="30"/>
      <c r="I216" s="30"/>
      <c r="J216" s="30"/>
      <c r="K216" s="3"/>
      <c r="L216" s="165"/>
    </row>
    <row r="217" spans="1:12" ht="31.5">
      <c r="A217" s="65" t="s">
        <v>18</v>
      </c>
      <c r="B217" s="48" t="s">
        <v>326</v>
      </c>
      <c r="C217" s="48" t="s">
        <v>13</v>
      </c>
      <c r="D217" s="24">
        <f>'2016 год Приложение  5'!E304</f>
        <v>5</v>
      </c>
      <c r="E217" s="24">
        <f>'2016 год Приложение  5'!F304</f>
        <v>0</v>
      </c>
      <c r="F217" s="24">
        <f>'2016 год Приложение  5'!G304</f>
        <v>5</v>
      </c>
      <c r="G217" s="30"/>
      <c r="H217" s="30"/>
      <c r="I217" s="30"/>
      <c r="J217" s="30"/>
      <c r="K217" s="3"/>
      <c r="L217" s="165"/>
    </row>
    <row r="218" spans="1:12" ht="15.75">
      <c r="A218" s="88" t="s">
        <v>38</v>
      </c>
      <c r="B218" s="48" t="s">
        <v>326</v>
      </c>
      <c r="C218" s="48" t="s">
        <v>22</v>
      </c>
      <c r="D218" s="24">
        <f>'2016 год Приложение  5'!E305</f>
        <v>15</v>
      </c>
      <c r="E218" s="24">
        <f>'2016 год Приложение  5'!F305</f>
        <v>0</v>
      </c>
      <c r="F218" s="24">
        <f>'2016 год Приложение  5'!G305</f>
        <v>15</v>
      </c>
      <c r="G218" s="30"/>
      <c r="H218" s="30"/>
      <c r="I218" s="30"/>
      <c r="J218" s="30"/>
      <c r="K218" s="3"/>
      <c r="L218" s="165"/>
    </row>
    <row r="219" spans="1:12" ht="31.5">
      <c r="A219" s="26" t="s">
        <v>438</v>
      </c>
      <c r="B219" s="48" t="s">
        <v>437</v>
      </c>
      <c r="C219" s="48"/>
      <c r="D219" s="24">
        <f>D220</f>
        <v>10</v>
      </c>
      <c r="E219" s="24">
        <f>E220</f>
        <v>0</v>
      </c>
      <c r="F219" s="24">
        <f>F220</f>
        <v>10</v>
      </c>
      <c r="G219" s="199"/>
      <c r="H219" s="199"/>
      <c r="I219" s="199"/>
      <c r="J219" s="199"/>
      <c r="K219" s="199"/>
      <c r="L219" s="200"/>
    </row>
    <row r="220" spans="1:12" ht="31.5">
      <c r="A220" s="164" t="s">
        <v>15</v>
      </c>
      <c r="B220" s="48" t="s">
        <v>437</v>
      </c>
      <c r="C220" s="48" t="s">
        <v>16</v>
      </c>
      <c r="D220" s="24">
        <f>'2016 год Приложение  5'!E307</f>
        <v>10</v>
      </c>
      <c r="E220" s="24">
        <f>'2016 год Приложение  5'!F307</f>
        <v>0</v>
      </c>
      <c r="F220" s="24">
        <f>D220+E220</f>
        <v>10</v>
      </c>
      <c r="G220" s="30"/>
      <c r="H220" s="30"/>
      <c r="I220" s="30"/>
      <c r="J220" s="30"/>
      <c r="K220" s="3"/>
      <c r="L220" s="165"/>
    </row>
    <row r="221" spans="1:12" ht="15.75">
      <c r="A221" s="46" t="s">
        <v>30</v>
      </c>
      <c r="B221" s="48" t="s">
        <v>245</v>
      </c>
      <c r="C221" s="48"/>
      <c r="D221" s="49">
        <f>D223+D222+D224</f>
        <v>6805.7</v>
      </c>
      <c r="E221" s="49">
        <f>E223+E222+E224</f>
        <v>-330.9</v>
      </c>
      <c r="F221" s="49">
        <f>F223+F222+F224</f>
        <v>6474.8</v>
      </c>
      <c r="G221" s="30"/>
      <c r="H221" s="30"/>
      <c r="I221" s="30"/>
      <c r="J221" s="30"/>
      <c r="K221" s="3"/>
      <c r="L221" s="165"/>
    </row>
    <row r="222" spans="1:12" ht="78.75">
      <c r="A222" s="26" t="s">
        <v>20</v>
      </c>
      <c r="B222" s="48" t="s">
        <v>245</v>
      </c>
      <c r="C222" s="48" t="s">
        <v>21</v>
      </c>
      <c r="D222" s="24">
        <f>'2016 год Приложение  5'!E309</f>
        <v>5557.5</v>
      </c>
      <c r="E222" s="24">
        <f>'2016 год Приложение  5'!F309</f>
        <v>-373.9</v>
      </c>
      <c r="F222" s="24">
        <f>'2016 год Приложение  5'!G309</f>
        <v>5183.6</v>
      </c>
      <c r="G222" s="30"/>
      <c r="H222" s="30"/>
      <c r="I222" s="30"/>
      <c r="J222" s="30"/>
      <c r="K222" s="3"/>
      <c r="L222" s="165"/>
    </row>
    <row r="223" spans="1:12" ht="31.5">
      <c r="A223" s="65" t="s">
        <v>18</v>
      </c>
      <c r="B223" s="48" t="s">
        <v>245</v>
      </c>
      <c r="C223" s="48" t="s">
        <v>13</v>
      </c>
      <c r="D223" s="24">
        <f>'2016 год Приложение  5'!E310</f>
        <v>1220.7</v>
      </c>
      <c r="E223" s="24">
        <f>'2016 год Приложение  5'!F310</f>
        <v>43</v>
      </c>
      <c r="F223" s="24">
        <f>'2016 год Приложение  5'!G310</f>
        <v>1263.7</v>
      </c>
      <c r="G223" s="30"/>
      <c r="H223" s="30"/>
      <c r="I223" s="30"/>
      <c r="J223" s="30"/>
      <c r="K223" s="3"/>
      <c r="L223" s="165"/>
    </row>
    <row r="224" spans="1:12" ht="15.75">
      <c r="A224" s="65" t="s">
        <v>14</v>
      </c>
      <c r="B224" s="48" t="s">
        <v>245</v>
      </c>
      <c r="C224" s="48" t="s">
        <v>17</v>
      </c>
      <c r="D224" s="24">
        <f>'2016 год Приложение  5'!E311</f>
        <v>27.5</v>
      </c>
      <c r="E224" s="24">
        <f>'2016 год Приложение  5'!F311</f>
        <v>0</v>
      </c>
      <c r="F224" s="24">
        <f>'2016 год Приложение  5'!G311</f>
        <v>27.5</v>
      </c>
      <c r="G224" s="30"/>
      <c r="H224" s="30"/>
      <c r="I224" s="30"/>
      <c r="J224" s="30"/>
      <c r="K224" s="3"/>
      <c r="L224" s="165"/>
    </row>
    <row r="225" spans="1:12" ht="31.5">
      <c r="A225" s="46" t="s">
        <v>72</v>
      </c>
      <c r="B225" s="48" t="s">
        <v>246</v>
      </c>
      <c r="C225" s="48"/>
      <c r="D225" s="49">
        <f>D226+D227+D229+D228</f>
        <v>25125.2</v>
      </c>
      <c r="E225" s="49">
        <f>E226+E227+E229+E228</f>
        <v>330.90000000000003</v>
      </c>
      <c r="F225" s="49">
        <f>F226+F227+F229+F228</f>
        <v>25456.1</v>
      </c>
      <c r="G225" s="30"/>
      <c r="H225" s="30"/>
      <c r="I225" s="30"/>
      <c r="J225" s="30"/>
      <c r="K225" s="3"/>
      <c r="L225" s="165"/>
    </row>
    <row r="226" spans="1:12" ht="78.75">
      <c r="A226" s="26" t="s">
        <v>20</v>
      </c>
      <c r="B226" s="48" t="s">
        <v>246</v>
      </c>
      <c r="C226" s="48" t="s">
        <v>21</v>
      </c>
      <c r="D226" s="49">
        <f>'2016 год Приложение  5'!E313</f>
        <v>23430.9</v>
      </c>
      <c r="E226" s="49">
        <f>'2016 год Приложение  5'!F313</f>
        <v>324.1</v>
      </c>
      <c r="F226" s="49">
        <f>'2016 год Приложение  5'!G313</f>
        <v>23755</v>
      </c>
      <c r="G226" s="30"/>
      <c r="H226" s="30"/>
      <c r="I226" s="30"/>
      <c r="J226" s="30"/>
      <c r="K226" s="3"/>
      <c r="L226" s="165"/>
    </row>
    <row r="227" spans="1:12" ht="31.5">
      <c r="A227" s="65" t="s">
        <v>18</v>
      </c>
      <c r="B227" s="48" t="s">
        <v>246</v>
      </c>
      <c r="C227" s="48" t="s">
        <v>13</v>
      </c>
      <c r="D227" s="49">
        <f>'2016 год Приложение  5'!E314</f>
        <v>1287.6</v>
      </c>
      <c r="E227" s="49">
        <f>'2016 год Приложение  5'!F314</f>
        <v>17.6</v>
      </c>
      <c r="F227" s="49">
        <f>'2016 год Приложение  5'!G314</f>
        <v>1305.1999999999998</v>
      </c>
      <c r="G227" s="30"/>
      <c r="H227" s="30"/>
      <c r="I227" s="30"/>
      <c r="J227" s="30"/>
      <c r="K227" s="3"/>
      <c r="L227" s="165"/>
    </row>
    <row r="228" spans="1:12" ht="15.75">
      <c r="A228" s="26" t="s">
        <v>38</v>
      </c>
      <c r="B228" s="48" t="s">
        <v>246</v>
      </c>
      <c r="C228" s="48" t="s">
        <v>22</v>
      </c>
      <c r="D228" s="49">
        <f>'2016 год Приложение  5'!E315</f>
        <v>154.3</v>
      </c>
      <c r="E228" s="49">
        <f>'2016 год Приложение  5'!F315</f>
        <v>0</v>
      </c>
      <c r="F228" s="49">
        <f>'2016 год Приложение  5'!G315</f>
        <v>154.3</v>
      </c>
      <c r="G228" s="30"/>
      <c r="H228" s="30"/>
      <c r="I228" s="30"/>
      <c r="J228" s="30"/>
      <c r="K228" s="3"/>
      <c r="L228" s="165"/>
    </row>
    <row r="229" spans="1:12" ht="15.75">
      <c r="A229" s="65" t="s">
        <v>14</v>
      </c>
      <c r="B229" s="48" t="s">
        <v>246</v>
      </c>
      <c r="C229" s="48" t="s">
        <v>17</v>
      </c>
      <c r="D229" s="49">
        <f>'2016 год Приложение  5'!E316</f>
        <v>252.39999999999998</v>
      </c>
      <c r="E229" s="49">
        <f>'2016 год Приложение  5'!F316</f>
        <v>-10.8</v>
      </c>
      <c r="F229" s="49">
        <f>'2016 год Приложение  5'!G316</f>
        <v>241.59999999999997</v>
      </c>
      <c r="G229" s="30"/>
      <c r="H229" s="30"/>
      <c r="I229" s="30"/>
      <c r="J229" s="30"/>
      <c r="K229" s="3"/>
      <c r="L229" s="165"/>
    </row>
    <row r="230" spans="1:12" ht="31.5">
      <c r="A230" s="34" t="s">
        <v>80</v>
      </c>
      <c r="B230" s="35" t="s">
        <v>247</v>
      </c>
      <c r="C230" s="35" t="s">
        <v>0</v>
      </c>
      <c r="D230" s="36">
        <f>D242+D240+D238+D234+D231+D236</f>
        <v>59599.899999999994</v>
      </c>
      <c r="E230" s="36">
        <f>E242+E240+E238+E234+E231+E236</f>
        <v>0</v>
      </c>
      <c r="F230" s="36">
        <f>F242+F240+F238+F234+F231+F236</f>
        <v>59599.899999999994</v>
      </c>
      <c r="G230" s="193"/>
      <c r="H230" s="30"/>
      <c r="I230" s="30"/>
      <c r="J230" s="30"/>
      <c r="K230" s="3"/>
      <c r="L230" s="165">
        <f>'2016 год Приложение  5'!G137</f>
        <v>59599.899999999994</v>
      </c>
    </row>
    <row r="231" spans="1:12" ht="15.75">
      <c r="A231" s="46" t="s">
        <v>29</v>
      </c>
      <c r="B231" s="48" t="s">
        <v>248</v>
      </c>
      <c r="C231" s="48"/>
      <c r="D231" s="49">
        <f>D232+D233</f>
        <v>550</v>
      </c>
      <c r="E231" s="49">
        <f>E232+E233</f>
        <v>0</v>
      </c>
      <c r="F231" s="49">
        <f>F232+F233</f>
        <v>550</v>
      </c>
      <c r="G231" s="30"/>
      <c r="H231" s="30"/>
      <c r="I231" s="30"/>
      <c r="J231" s="30"/>
      <c r="K231" s="3"/>
      <c r="L231" s="165"/>
    </row>
    <row r="232" spans="1:12" ht="31.5">
      <c r="A232" s="26" t="s">
        <v>18</v>
      </c>
      <c r="B232" s="48" t="s">
        <v>248</v>
      </c>
      <c r="C232" s="48" t="s">
        <v>13</v>
      </c>
      <c r="D232" s="49">
        <f>'2016 год Приложение  5'!E139</f>
        <v>100</v>
      </c>
      <c r="E232" s="49">
        <f>'2016 год Приложение  5'!F139</f>
        <v>0</v>
      </c>
      <c r="F232" s="49">
        <f>'2016 год Приложение  5'!G139</f>
        <v>100</v>
      </c>
      <c r="G232" s="30"/>
      <c r="H232" s="30"/>
      <c r="I232" s="30"/>
      <c r="J232" s="30"/>
      <c r="K232" s="3"/>
      <c r="L232" s="165"/>
    </row>
    <row r="233" spans="1:12" ht="31.5">
      <c r="A233" s="66" t="s">
        <v>15</v>
      </c>
      <c r="B233" s="48" t="s">
        <v>248</v>
      </c>
      <c r="C233" s="48" t="s">
        <v>16</v>
      </c>
      <c r="D233" s="49">
        <f>'2016 год Приложение  5'!E140</f>
        <v>450</v>
      </c>
      <c r="E233" s="49">
        <f>'2016 год Приложение  5'!F140</f>
        <v>0</v>
      </c>
      <c r="F233" s="49">
        <f>D233+E233</f>
        <v>450</v>
      </c>
      <c r="G233" s="30"/>
      <c r="H233" s="30"/>
      <c r="I233" s="30"/>
      <c r="J233" s="30"/>
      <c r="K233" s="3"/>
      <c r="L233" s="165"/>
    </row>
    <row r="234" spans="1:12" ht="31.5">
      <c r="A234" s="46" t="s">
        <v>81</v>
      </c>
      <c r="B234" s="48" t="s">
        <v>249</v>
      </c>
      <c r="C234" s="48"/>
      <c r="D234" s="49">
        <f>D235</f>
        <v>16000</v>
      </c>
      <c r="E234" s="49">
        <f>E235</f>
        <v>0</v>
      </c>
      <c r="F234" s="49">
        <f>F235</f>
        <v>16000</v>
      </c>
      <c r="G234" s="30"/>
      <c r="H234" s="30"/>
      <c r="I234" s="30"/>
      <c r="J234" s="30"/>
      <c r="K234" s="3"/>
      <c r="L234" s="165"/>
    </row>
    <row r="235" spans="1:12" ht="31.5">
      <c r="A235" s="66" t="s">
        <v>15</v>
      </c>
      <c r="B235" s="48" t="s">
        <v>249</v>
      </c>
      <c r="C235" s="48" t="s">
        <v>16</v>
      </c>
      <c r="D235" s="49">
        <f>'2016 год Приложение  5'!E142</f>
        <v>16000</v>
      </c>
      <c r="E235" s="49">
        <f>'2016 год Приложение  5'!F142</f>
        <v>0</v>
      </c>
      <c r="F235" s="49">
        <f>'2016 год Приложение  5'!G142</f>
        <v>16000</v>
      </c>
      <c r="G235" s="30"/>
      <c r="H235" s="30"/>
      <c r="I235" s="30"/>
      <c r="J235" s="30"/>
      <c r="K235" s="3"/>
      <c r="L235" s="165"/>
    </row>
    <row r="236" spans="1:12" ht="47.25">
      <c r="A236" s="69" t="s">
        <v>82</v>
      </c>
      <c r="B236" s="48" t="s">
        <v>250</v>
      </c>
      <c r="C236" s="48"/>
      <c r="D236" s="49">
        <f>D237</f>
        <v>40564.2</v>
      </c>
      <c r="E236" s="49">
        <f>E237</f>
        <v>0</v>
      </c>
      <c r="F236" s="49">
        <f>F237</f>
        <v>40564.2</v>
      </c>
      <c r="G236" s="30"/>
      <c r="H236" s="30"/>
      <c r="I236" s="30"/>
      <c r="J236" s="30"/>
      <c r="K236" s="3"/>
      <c r="L236" s="165"/>
    </row>
    <row r="237" spans="1:12" ht="31.5">
      <c r="A237" s="69" t="s">
        <v>15</v>
      </c>
      <c r="B237" s="48" t="s">
        <v>250</v>
      </c>
      <c r="C237" s="48" t="s">
        <v>16</v>
      </c>
      <c r="D237" s="49">
        <f>'2016 год Приложение  5'!E144</f>
        <v>40564.2</v>
      </c>
      <c r="E237" s="49">
        <f>'2016 год Приложение  5'!F144</f>
        <v>0</v>
      </c>
      <c r="F237" s="49">
        <f>'2016 год Приложение  5'!G144</f>
        <v>40564.2</v>
      </c>
      <c r="G237" s="30"/>
      <c r="H237" s="30"/>
      <c r="I237" s="30"/>
      <c r="J237" s="30"/>
      <c r="K237" s="3"/>
      <c r="L237" s="165"/>
    </row>
    <row r="238" spans="1:12" ht="31.5">
      <c r="A238" s="67" t="s">
        <v>58</v>
      </c>
      <c r="B238" s="48" t="s">
        <v>251</v>
      </c>
      <c r="C238" s="48"/>
      <c r="D238" s="49">
        <f>D239</f>
        <v>300.7</v>
      </c>
      <c r="E238" s="49">
        <f>E239</f>
        <v>0</v>
      </c>
      <c r="F238" s="49">
        <f>F239</f>
        <v>300.7</v>
      </c>
      <c r="G238" s="30"/>
      <c r="H238" s="30"/>
      <c r="I238" s="30"/>
      <c r="J238" s="30"/>
      <c r="K238" s="3"/>
      <c r="L238" s="165"/>
    </row>
    <row r="239" spans="1:12" ht="31.5">
      <c r="A239" s="67" t="s">
        <v>15</v>
      </c>
      <c r="B239" s="48" t="s">
        <v>251</v>
      </c>
      <c r="C239" s="48" t="s">
        <v>16</v>
      </c>
      <c r="D239" s="49">
        <f>'2016 год Приложение  5'!E146</f>
        <v>300.7</v>
      </c>
      <c r="E239" s="49">
        <f>'2016 год Приложение  5'!F146</f>
        <v>0</v>
      </c>
      <c r="F239" s="49">
        <f>D239+E239</f>
        <v>300.7</v>
      </c>
      <c r="G239" s="30"/>
      <c r="H239" s="30"/>
      <c r="I239" s="30"/>
      <c r="J239" s="30"/>
      <c r="K239" s="3"/>
      <c r="L239" s="165"/>
    </row>
    <row r="240" spans="1:12" ht="31.5">
      <c r="A240" s="68" t="s">
        <v>59</v>
      </c>
      <c r="B240" s="48" t="s">
        <v>252</v>
      </c>
      <c r="C240" s="48"/>
      <c r="D240" s="49">
        <f>D241</f>
        <v>32.1</v>
      </c>
      <c r="E240" s="49">
        <f>E241</f>
        <v>0</v>
      </c>
      <c r="F240" s="49">
        <f>F241</f>
        <v>32.1</v>
      </c>
      <c r="G240" s="30"/>
      <c r="H240" s="30"/>
      <c r="I240" s="30"/>
      <c r="J240" s="30"/>
      <c r="K240" s="3"/>
      <c r="L240" s="165"/>
    </row>
    <row r="241" spans="1:12" ht="31.5">
      <c r="A241" s="26" t="s">
        <v>18</v>
      </c>
      <c r="B241" s="48" t="s">
        <v>252</v>
      </c>
      <c r="C241" s="48" t="s">
        <v>13</v>
      </c>
      <c r="D241" s="49">
        <f>'2016 год Приложение  5'!E148</f>
        <v>32.1</v>
      </c>
      <c r="E241" s="49">
        <f>'2016 год Приложение  5'!F148</f>
        <v>0</v>
      </c>
      <c r="F241" s="49">
        <f>'2016 год Приложение  5'!G148</f>
        <v>32.1</v>
      </c>
      <c r="G241" s="30"/>
      <c r="H241" s="30"/>
      <c r="I241" s="30"/>
      <c r="J241" s="30"/>
      <c r="K241" s="3"/>
      <c r="L241" s="165"/>
    </row>
    <row r="242" spans="1:12" ht="31.5">
      <c r="A242" s="67" t="s">
        <v>60</v>
      </c>
      <c r="B242" s="48" t="s">
        <v>253</v>
      </c>
      <c r="C242" s="48"/>
      <c r="D242" s="49">
        <f>D243</f>
        <v>2152.9</v>
      </c>
      <c r="E242" s="49">
        <f>E243</f>
        <v>0</v>
      </c>
      <c r="F242" s="49">
        <f>F243</f>
        <v>2152.9</v>
      </c>
      <c r="G242" s="30"/>
      <c r="H242" s="30"/>
      <c r="I242" s="30"/>
      <c r="J242" s="30"/>
      <c r="K242" s="3"/>
      <c r="L242" s="165"/>
    </row>
    <row r="243" spans="1:12" ht="31.5">
      <c r="A243" s="26" t="s">
        <v>18</v>
      </c>
      <c r="B243" s="48" t="s">
        <v>253</v>
      </c>
      <c r="C243" s="48" t="s">
        <v>13</v>
      </c>
      <c r="D243" s="49">
        <f>'2016 год Приложение  5'!E150</f>
        <v>2152.9</v>
      </c>
      <c r="E243" s="49">
        <f>'2016 год Приложение  5'!F150</f>
        <v>0</v>
      </c>
      <c r="F243" s="49">
        <f>'2016 год Приложение  5'!G150</f>
        <v>2152.9</v>
      </c>
      <c r="G243" s="30"/>
      <c r="H243" s="30"/>
      <c r="I243" s="30"/>
      <c r="J243" s="30"/>
      <c r="K243" s="3"/>
      <c r="L243" s="165"/>
    </row>
    <row r="244" spans="1:13" ht="31.5">
      <c r="A244" s="34" t="s">
        <v>134</v>
      </c>
      <c r="B244" s="35" t="s">
        <v>271</v>
      </c>
      <c r="C244" s="35" t="s">
        <v>0</v>
      </c>
      <c r="D244" s="36">
        <f>D245+D250+D263+D294+D303</f>
        <v>157363.3</v>
      </c>
      <c r="E244" s="36">
        <f>E245+E250+E263+E294+E303</f>
        <v>-155.70000000000005</v>
      </c>
      <c r="F244" s="36">
        <f>F245+F250+F263+F294+F303</f>
        <v>157207.6</v>
      </c>
      <c r="G244" s="30"/>
      <c r="H244" s="30"/>
      <c r="I244" s="30"/>
      <c r="J244" s="30"/>
      <c r="K244" s="3"/>
      <c r="L244" s="165">
        <f>'2016 год Приложение  5'!G151+'2016 год Приложение  5'!G336+'2016 год Приложение  5'!G425</f>
        <v>157207.6</v>
      </c>
      <c r="M244" s="195">
        <f>F244-L244</f>
        <v>0</v>
      </c>
    </row>
    <row r="245" spans="1:12" ht="47.25">
      <c r="A245" s="12" t="s">
        <v>124</v>
      </c>
      <c r="B245" s="13" t="s">
        <v>272</v>
      </c>
      <c r="C245" s="13" t="s">
        <v>0</v>
      </c>
      <c r="D245" s="14">
        <f>D246</f>
        <v>19107.399999999998</v>
      </c>
      <c r="E245" s="14">
        <f>E246</f>
        <v>-441</v>
      </c>
      <c r="F245" s="14">
        <f>F246</f>
        <v>18666.399999999998</v>
      </c>
      <c r="G245" s="30"/>
      <c r="H245" s="30"/>
      <c r="I245" s="30"/>
      <c r="J245" s="30"/>
      <c r="K245" s="3"/>
      <c r="L245" s="165"/>
    </row>
    <row r="246" spans="1:12" ht="31.5">
      <c r="A246" s="89" t="s">
        <v>19</v>
      </c>
      <c r="B246" s="17" t="s">
        <v>273</v>
      </c>
      <c r="C246" s="25"/>
      <c r="D246" s="24">
        <f>SUM(D247:D249)</f>
        <v>19107.399999999998</v>
      </c>
      <c r="E246" s="24">
        <f>SUM(E247:E249)</f>
        <v>-441</v>
      </c>
      <c r="F246" s="24">
        <f>SUM(F247:F249)</f>
        <v>18666.399999999998</v>
      </c>
      <c r="G246" s="30"/>
      <c r="H246" s="30"/>
      <c r="I246" s="30"/>
      <c r="J246" s="30"/>
      <c r="K246" s="3"/>
      <c r="L246" s="165"/>
    </row>
    <row r="247" spans="1:12" ht="78.75">
      <c r="A247" s="63" t="s">
        <v>20</v>
      </c>
      <c r="B247" s="17" t="s">
        <v>273</v>
      </c>
      <c r="C247" s="48" t="s">
        <v>21</v>
      </c>
      <c r="D247" s="24">
        <f>'2016 год Приложение  5'!E428</f>
        <v>17900</v>
      </c>
      <c r="E247" s="24">
        <f>'2016 год Приложение  5'!F428</f>
        <v>-396</v>
      </c>
      <c r="F247" s="24">
        <f>'2016 год Приложение  5'!G428</f>
        <v>17504</v>
      </c>
      <c r="G247" s="30"/>
      <c r="H247" s="30"/>
      <c r="I247" s="30"/>
      <c r="J247" s="30"/>
      <c r="K247" s="3"/>
      <c r="L247" s="165"/>
    </row>
    <row r="248" spans="1:12" ht="31.5">
      <c r="A248" s="51" t="s">
        <v>18</v>
      </c>
      <c r="B248" s="17" t="s">
        <v>273</v>
      </c>
      <c r="C248" s="48" t="s">
        <v>13</v>
      </c>
      <c r="D248" s="24">
        <f>'2016 год Приложение  5'!E429</f>
        <v>1181.1</v>
      </c>
      <c r="E248" s="24">
        <f>'2016 год Приложение  5'!F429</f>
        <v>-45</v>
      </c>
      <c r="F248" s="24">
        <f>'2016 год Приложение  5'!G429</f>
        <v>1136.1</v>
      </c>
      <c r="G248" s="30"/>
      <c r="H248" s="30"/>
      <c r="I248" s="30"/>
      <c r="J248" s="30"/>
      <c r="K248" s="3"/>
      <c r="L248" s="165"/>
    </row>
    <row r="249" spans="1:12" ht="15.75">
      <c r="A249" s="90" t="s">
        <v>14</v>
      </c>
      <c r="B249" s="17" t="s">
        <v>273</v>
      </c>
      <c r="C249" s="48" t="s">
        <v>17</v>
      </c>
      <c r="D249" s="24">
        <f>'2016 год Приложение  5'!E430</f>
        <v>26.3</v>
      </c>
      <c r="E249" s="24">
        <f>'2016 год Приложение  5'!F430</f>
        <v>0</v>
      </c>
      <c r="F249" s="24">
        <f>'2016 год Приложение  5'!G430</f>
        <v>26.3</v>
      </c>
      <c r="G249" s="30"/>
      <c r="H249" s="30"/>
      <c r="I249" s="30"/>
      <c r="J249" s="30"/>
      <c r="K249" s="3"/>
      <c r="L249" s="165"/>
    </row>
    <row r="250" spans="1:12" ht="31.5">
      <c r="A250" s="12" t="s">
        <v>125</v>
      </c>
      <c r="B250" s="13" t="s">
        <v>274</v>
      </c>
      <c r="C250" s="13" t="s">
        <v>0</v>
      </c>
      <c r="D250" s="14">
        <f>D251+D253+D255+D259</f>
        <v>22444</v>
      </c>
      <c r="E250" s="14">
        <f>E251+E253+E255+E259</f>
        <v>0</v>
      </c>
      <c r="F250" s="14">
        <f>F251+F253+F255+F259</f>
        <v>22444.000000000004</v>
      </c>
      <c r="G250" s="30"/>
      <c r="H250" s="30"/>
      <c r="I250" s="30"/>
      <c r="J250" s="30"/>
      <c r="K250" s="3"/>
      <c r="L250" s="165"/>
    </row>
    <row r="251" spans="1:12" ht="47.25">
      <c r="A251" s="18" t="s">
        <v>87</v>
      </c>
      <c r="B251" s="17" t="s">
        <v>275</v>
      </c>
      <c r="C251" s="9"/>
      <c r="D251" s="10">
        <f>D252</f>
        <v>3400</v>
      </c>
      <c r="E251" s="10">
        <f>E252</f>
        <v>0</v>
      </c>
      <c r="F251" s="10">
        <f>F252</f>
        <v>3400</v>
      </c>
      <c r="G251" s="30"/>
      <c r="H251" s="30"/>
      <c r="I251" s="30"/>
      <c r="J251" s="30"/>
      <c r="K251" s="3"/>
      <c r="L251" s="165"/>
    </row>
    <row r="252" spans="1:12" ht="31.5">
      <c r="A252" s="51" t="s">
        <v>18</v>
      </c>
      <c r="B252" s="17" t="s">
        <v>275</v>
      </c>
      <c r="C252" s="48" t="s">
        <v>13</v>
      </c>
      <c r="D252" s="24">
        <f>'2016 год Приложение  5'!E339</f>
        <v>3400</v>
      </c>
      <c r="E252" s="24">
        <f>'2016 год Приложение  5'!F339</f>
        <v>0</v>
      </c>
      <c r="F252" s="24">
        <f>'2016 год Приложение  5'!G339</f>
        <v>3400</v>
      </c>
      <c r="G252" s="30"/>
      <c r="H252" s="30"/>
      <c r="I252" s="30"/>
      <c r="J252" s="30"/>
      <c r="K252" s="3"/>
      <c r="L252" s="165"/>
    </row>
    <row r="253" spans="1:12" ht="31.5">
      <c r="A253" s="64" t="s">
        <v>23</v>
      </c>
      <c r="B253" s="17" t="s">
        <v>276</v>
      </c>
      <c r="C253" s="25"/>
      <c r="D253" s="24">
        <f>D254</f>
        <v>300</v>
      </c>
      <c r="E253" s="24">
        <f>E254</f>
        <v>0</v>
      </c>
      <c r="F253" s="24">
        <f>F254</f>
        <v>300</v>
      </c>
      <c r="G253" s="30"/>
      <c r="H253" s="30"/>
      <c r="I253" s="30"/>
      <c r="J253" s="30"/>
      <c r="K253" s="3"/>
      <c r="L253" s="165"/>
    </row>
    <row r="254" spans="1:12" ht="31.5">
      <c r="A254" s="51" t="s">
        <v>18</v>
      </c>
      <c r="B254" s="17" t="s">
        <v>276</v>
      </c>
      <c r="C254" s="48" t="s">
        <v>13</v>
      </c>
      <c r="D254" s="24">
        <f>'2016 год Приложение  5'!E341</f>
        <v>300</v>
      </c>
      <c r="E254" s="24">
        <f>'2016 год Приложение  5'!F341</f>
        <v>0</v>
      </c>
      <c r="F254" s="24">
        <f>'2016 год Приложение  5'!G341</f>
        <v>300</v>
      </c>
      <c r="G254" s="30"/>
      <c r="H254" s="30"/>
      <c r="I254" s="30"/>
      <c r="J254" s="30"/>
      <c r="K254" s="3"/>
      <c r="L254" s="165"/>
    </row>
    <row r="255" spans="1:12" ht="31.5">
      <c r="A255" s="64" t="s">
        <v>19</v>
      </c>
      <c r="B255" s="17" t="s">
        <v>277</v>
      </c>
      <c r="C255" s="25"/>
      <c r="D255" s="24">
        <f>SUM(D256:D258)</f>
        <v>14359.1</v>
      </c>
      <c r="E255" s="24">
        <f>SUM(E256:E258)</f>
        <v>765.7</v>
      </c>
      <c r="F255" s="24">
        <f>SUM(F256:F258)</f>
        <v>15124.800000000001</v>
      </c>
      <c r="G255" s="30"/>
      <c r="H255" s="30"/>
      <c r="I255" s="30"/>
      <c r="J255" s="30"/>
      <c r="K255" s="3"/>
      <c r="L255" s="165"/>
    </row>
    <row r="256" spans="1:12" ht="78.75">
      <c r="A256" s="63" t="s">
        <v>20</v>
      </c>
      <c r="B256" s="17" t="s">
        <v>277</v>
      </c>
      <c r="C256" s="48" t="s">
        <v>21</v>
      </c>
      <c r="D256" s="24">
        <f>'2016 год Приложение  5'!E343</f>
        <v>12354.6</v>
      </c>
      <c r="E256" s="24">
        <f>'2016 год Приложение  5'!F343</f>
        <v>695.7</v>
      </c>
      <c r="F256" s="24">
        <f>'2016 год Приложение  5'!G343</f>
        <v>13050.300000000001</v>
      </c>
      <c r="G256" s="30"/>
      <c r="H256" s="30"/>
      <c r="I256" s="30"/>
      <c r="J256" s="30"/>
      <c r="K256" s="3"/>
      <c r="L256" s="165"/>
    </row>
    <row r="257" spans="1:12" ht="31.5">
      <c r="A257" s="51" t="s">
        <v>18</v>
      </c>
      <c r="B257" s="17" t="s">
        <v>277</v>
      </c>
      <c r="C257" s="48" t="s">
        <v>13</v>
      </c>
      <c r="D257" s="24">
        <f>'2016 год Приложение  5'!E344</f>
        <v>1989.5</v>
      </c>
      <c r="E257" s="24">
        <f>'2016 год Приложение  5'!F344</f>
        <v>70</v>
      </c>
      <c r="F257" s="24">
        <f>'2016 год Приложение  5'!G344</f>
        <v>2059.5</v>
      </c>
      <c r="G257" s="30"/>
      <c r="H257" s="30"/>
      <c r="I257" s="30"/>
      <c r="J257" s="30"/>
      <c r="K257" s="3"/>
      <c r="L257" s="165"/>
    </row>
    <row r="258" spans="1:12" ht="15.75">
      <c r="A258" s="86" t="s">
        <v>14</v>
      </c>
      <c r="B258" s="17" t="s">
        <v>277</v>
      </c>
      <c r="C258" s="48" t="s">
        <v>17</v>
      </c>
      <c r="D258" s="24">
        <f>'2016 год Приложение  5'!E345</f>
        <v>15</v>
      </c>
      <c r="E258" s="24">
        <f>'2016 год Приложение  5'!F345</f>
        <v>0</v>
      </c>
      <c r="F258" s="24">
        <f>'2016 год Приложение  5'!G345</f>
        <v>15</v>
      </c>
      <c r="G258" s="30"/>
      <c r="H258" s="30"/>
      <c r="I258" s="30"/>
      <c r="J258" s="30"/>
      <c r="K258" s="3"/>
      <c r="L258" s="165"/>
    </row>
    <row r="259" spans="1:12" ht="31.5">
      <c r="A259" s="64" t="s">
        <v>71</v>
      </c>
      <c r="B259" s="17" t="s">
        <v>278</v>
      </c>
      <c r="C259" s="25"/>
      <c r="D259" s="24">
        <f>D260+D261+D262</f>
        <v>4384.9</v>
      </c>
      <c r="E259" s="24">
        <f>E260+E261+E262</f>
        <v>-765.7</v>
      </c>
      <c r="F259" s="24">
        <f>F260+F261+F262</f>
        <v>3619.2</v>
      </c>
      <c r="G259" s="30"/>
      <c r="H259" s="30"/>
      <c r="I259" s="30"/>
      <c r="J259" s="30"/>
      <c r="K259" s="3"/>
      <c r="L259" s="165"/>
    </row>
    <row r="260" spans="1:12" ht="78.75">
      <c r="A260" s="63" t="s">
        <v>20</v>
      </c>
      <c r="B260" s="17" t="s">
        <v>278</v>
      </c>
      <c r="C260" s="25" t="s">
        <v>21</v>
      </c>
      <c r="D260" s="24">
        <f>'2016 год Приложение  5'!E347</f>
        <v>363.1</v>
      </c>
      <c r="E260" s="24">
        <f>'2016 год Приложение  5'!F347</f>
        <v>0</v>
      </c>
      <c r="F260" s="24">
        <f>D260+E260</f>
        <v>363.1</v>
      </c>
      <c r="G260" s="30"/>
      <c r="H260" s="30"/>
      <c r="I260" s="30"/>
      <c r="J260" s="30"/>
      <c r="K260" s="3"/>
      <c r="L260" s="165"/>
    </row>
    <row r="261" spans="1:12" ht="31.5">
      <c r="A261" s="51" t="s">
        <v>18</v>
      </c>
      <c r="B261" s="17" t="s">
        <v>278</v>
      </c>
      <c r="C261" s="48" t="s">
        <v>13</v>
      </c>
      <c r="D261" s="24">
        <f>'2016 год Приложение  5'!E348</f>
        <v>2442.5</v>
      </c>
      <c r="E261" s="24">
        <f>'2016 год Приложение  5'!F348</f>
        <v>0</v>
      </c>
      <c r="F261" s="24">
        <f>'2016 год Приложение  5'!G348</f>
        <v>2442.5</v>
      </c>
      <c r="G261" s="30"/>
      <c r="H261" s="30"/>
      <c r="I261" s="30"/>
      <c r="J261" s="30"/>
      <c r="K261" s="3"/>
      <c r="L261" s="165"/>
    </row>
    <row r="262" spans="1:12" ht="15.75">
      <c r="A262" s="86" t="s">
        <v>14</v>
      </c>
      <c r="B262" s="17" t="s">
        <v>278</v>
      </c>
      <c r="C262" s="48" t="s">
        <v>17</v>
      </c>
      <c r="D262" s="24">
        <f>'2016 год Приложение  5'!E349</f>
        <v>1579.3</v>
      </c>
      <c r="E262" s="24">
        <f>'2016 год Приложение  5'!F349</f>
        <v>-765.7</v>
      </c>
      <c r="F262" s="24">
        <f>'2016 год Приложение  5'!G349</f>
        <v>813.5999999999999</v>
      </c>
      <c r="G262" s="30"/>
      <c r="H262" s="30"/>
      <c r="I262" s="30"/>
      <c r="J262" s="30"/>
      <c r="K262" s="3"/>
      <c r="L262" s="165"/>
    </row>
    <row r="263" spans="1:12" ht="31.5">
      <c r="A263" s="12" t="s">
        <v>126</v>
      </c>
      <c r="B263" s="13" t="s">
        <v>279</v>
      </c>
      <c r="C263" s="13" t="s">
        <v>0</v>
      </c>
      <c r="D263" s="14">
        <f>D264+D266+D271+D278+D281+D284+D287+D290+D275</f>
        <v>109616.9</v>
      </c>
      <c r="E263" s="14">
        <f>E264+E266+E271+E278+E281+E284+E287+E290+E275</f>
        <v>-474.7</v>
      </c>
      <c r="F263" s="14">
        <f>F264+F266+F271+F278+F281+F284+F287+F290+F275</f>
        <v>109142.2</v>
      </c>
      <c r="G263" s="30"/>
      <c r="H263" s="30"/>
      <c r="I263" s="30"/>
      <c r="J263" s="30"/>
      <c r="K263" s="3"/>
      <c r="L263" s="165"/>
    </row>
    <row r="264" spans="1:12" ht="31.5">
      <c r="A264" s="18" t="s">
        <v>25</v>
      </c>
      <c r="B264" s="17" t="s">
        <v>280</v>
      </c>
      <c r="C264" s="9"/>
      <c r="D264" s="10">
        <f>D265</f>
        <v>200</v>
      </c>
      <c r="E264" s="10">
        <f>E265</f>
        <v>0</v>
      </c>
      <c r="F264" s="10">
        <f>F265</f>
        <v>200</v>
      </c>
      <c r="G264" s="30"/>
      <c r="H264" s="30"/>
      <c r="I264" s="30"/>
      <c r="J264" s="30"/>
      <c r="K264" s="3"/>
      <c r="L264" s="165"/>
    </row>
    <row r="265" spans="1:12" ht="31.5">
      <c r="A265" s="70" t="s">
        <v>18</v>
      </c>
      <c r="B265" s="17" t="s">
        <v>280</v>
      </c>
      <c r="C265" s="32" t="s">
        <v>13</v>
      </c>
      <c r="D265" s="41">
        <f>'2016 год Приложение  5'!E154</f>
        <v>200</v>
      </c>
      <c r="E265" s="41">
        <f>'2016 год Приложение  5'!F154</f>
        <v>0</v>
      </c>
      <c r="F265" s="41">
        <f>'2016 год Приложение  5'!G154</f>
        <v>200</v>
      </c>
      <c r="G265" s="30"/>
      <c r="H265" s="30"/>
      <c r="I265" s="30"/>
      <c r="J265" s="30"/>
      <c r="K265" s="3"/>
      <c r="L265" s="165"/>
    </row>
    <row r="266" spans="1:12" ht="31.5">
      <c r="A266" s="91" t="s">
        <v>19</v>
      </c>
      <c r="B266" s="17" t="s">
        <v>281</v>
      </c>
      <c r="C266" s="40"/>
      <c r="D266" s="41">
        <f>SUM(D267:D270)</f>
        <v>96859.9</v>
      </c>
      <c r="E266" s="41">
        <f>SUM(E267:E270)</f>
        <v>-459.7</v>
      </c>
      <c r="F266" s="41">
        <f>SUM(F267:F270)</f>
        <v>96400.2</v>
      </c>
      <c r="G266" s="30"/>
      <c r="H266" s="30"/>
      <c r="I266" s="30"/>
      <c r="J266" s="30"/>
      <c r="K266" s="3"/>
      <c r="L266" s="165"/>
    </row>
    <row r="267" spans="1:12" ht="78.75">
      <c r="A267" s="78" t="s">
        <v>20</v>
      </c>
      <c r="B267" s="17" t="s">
        <v>281</v>
      </c>
      <c r="C267" s="32" t="s">
        <v>21</v>
      </c>
      <c r="D267" s="41">
        <f>'2016 год Приложение  5'!E156</f>
        <v>78268.8</v>
      </c>
      <c r="E267" s="41">
        <f>'2016 год Приложение  5'!F156</f>
        <v>0</v>
      </c>
      <c r="F267" s="41">
        <f>'2016 год Приложение  5'!G156</f>
        <v>78268.8</v>
      </c>
      <c r="G267" s="30"/>
      <c r="H267" s="30"/>
      <c r="I267" s="30"/>
      <c r="J267" s="30"/>
      <c r="K267" s="3"/>
      <c r="L267" s="165"/>
    </row>
    <row r="268" spans="1:12" ht="31.5">
      <c r="A268" s="92" t="s">
        <v>18</v>
      </c>
      <c r="B268" s="17" t="s">
        <v>281</v>
      </c>
      <c r="C268" s="32" t="s">
        <v>13</v>
      </c>
      <c r="D268" s="41">
        <f>'2016 год Приложение  5'!E157</f>
        <v>9815.5</v>
      </c>
      <c r="E268" s="41">
        <f>'2016 год Приложение  5'!F157</f>
        <v>-459.7</v>
      </c>
      <c r="F268" s="41">
        <f>'2016 год Приложение  5'!G157</f>
        <v>9355.8</v>
      </c>
      <c r="G268" s="30"/>
      <c r="H268" s="30"/>
      <c r="I268" s="30"/>
      <c r="J268" s="30"/>
      <c r="K268" s="3"/>
      <c r="L268" s="165"/>
    </row>
    <row r="269" spans="1:12" ht="22.5" customHeight="1">
      <c r="A269" s="77" t="s">
        <v>111</v>
      </c>
      <c r="B269" s="17" t="s">
        <v>281</v>
      </c>
      <c r="C269" s="32" t="s">
        <v>22</v>
      </c>
      <c r="D269" s="41">
        <f>'2016 год Приложение  5'!E158</f>
        <v>8504.9</v>
      </c>
      <c r="E269" s="41">
        <f>'2016 год Приложение  5'!F158</f>
        <v>0</v>
      </c>
      <c r="F269" s="41">
        <f>'2016 год Приложение  5'!G158</f>
        <v>8504.9</v>
      </c>
      <c r="G269" s="30"/>
      <c r="H269" s="30"/>
      <c r="I269" s="30"/>
      <c r="J269" s="30"/>
      <c r="K269" s="3"/>
      <c r="L269" s="165"/>
    </row>
    <row r="270" spans="1:12" ht="15.75">
      <c r="A270" s="93" t="s">
        <v>14</v>
      </c>
      <c r="B270" s="17" t="s">
        <v>281</v>
      </c>
      <c r="C270" s="32" t="s">
        <v>17</v>
      </c>
      <c r="D270" s="41">
        <f>'2016 год Приложение  5'!E159</f>
        <v>270.7</v>
      </c>
      <c r="E270" s="41">
        <f>'2016 год Приложение  5'!F159</f>
        <v>0</v>
      </c>
      <c r="F270" s="41">
        <f>'2016 год Приложение  5'!G159</f>
        <v>270.7</v>
      </c>
      <c r="G270" s="30"/>
      <c r="H270" s="30"/>
      <c r="I270" s="30"/>
      <c r="J270" s="30"/>
      <c r="K270" s="3"/>
      <c r="L270" s="165"/>
    </row>
    <row r="271" spans="1:12" ht="31.5">
      <c r="A271" s="18" t="s">
        <v>83</v>
      </c>
      <c r="B271" s="17" t="s">
        <v>282</v>
      </c>
      <c r="C271" s="9"/>
      <c r="D271" s="10">
        <f>D273+D272+D274</f>
        <v>10331.8</v>
      </c>
      <c r="E271" s="10">
        <f>E273+E272+E274</f>
        <v>0</v>
      </c>
      <c r="F271" s="10">
        <f>F273+F272+F274</f>
        <v>10331.799999999997</v>
      </c>
      <c r="G271" s="30"/>
      <c r="H271" s="30"/>
      <c r="I271" s="30"/>
      <c r="J271" s="30"/>
      <c r="K271" s="3"/>
      <c r="L271" s="165"/>
    </row>
    <row r="272" spans="1:12" ht="83.25" customHeight="1">
      <c r="A272" s="70" t="s">
        <v>20</v>
      </c>
      <c r="B272" s="17" t="s">
        <v>282</v>
      </c>
      <c r="C272" s="32" t="s">
        <v>21</v>
      </c>
      <c r="D272" s="41">
        <f>'2016 год Приложение  5'!E161</f>
        <v>8295.3</v>
      </c>
      <c r="E272" s="41">
        <f>'2016 год Приложение  5'!F161</f>
        <v>164.8</v>
      </c>
      <c r="F272" s="41">
        <f>'2016 год Приложение  5'!G161</f>
        <v>8460.099999999999</v>
      </c>
      <c r="G272" s="30"/>
      <c r="H272" s="30"/>
      <c r="I272" s="30"/>
      <c r="J272" s="30"/>
      <c r="K272" s="3"/>
      <c r="L272" s="165"/>
    </row>
    <row r="273" spans="1:12" ht="51" customHeight="1">
      <c r="A273" s="92" t="s">
        <v>18</v>
      </c>
      <c r="B273" s="17" t="s">
        <v>282</v>
      </c>
      <c r="C273" s="32" t="s">
        <v>13</v>
      </c>
      <c r="D273" s="41">
        <f>'2016 год Приложение  5'!E162</f>
        <v>1824.6</v>
      </c>
      <c r="E273" s="41">
        <f>'2016 год Приложение  5'!F162</f>
        <v>-164.8</v>
      </c>
      <c r="F273" s="41">
        <f>'2016 год Приложение  5'!G162</f>
        <v>1659.8</v>
      </c>
      <c r="G273" s="30"/>
      <c r="H273" s="30"/>
      <c r="I273" s="30"/>
      <c r="J273" s="30"/>
      <c r="K273" s="3"/>
      <c r="L273" s="165"/>
    </row>
    <row r="274" spans="1:12" ht="18" customHeight="1">
      <c r="A274" s="18" t="s">
        <v>14</v>
      </c>
      <c r="B274" s="17" t="s">
        <v>282</v>
      </c>
      <c r="C274" s="32" t="s">
        <v>17</v>
      </c>
      <c r="D274" s="41">
        <f>'2016 год Приложение  5'!E163</f>
        <v>211.9</v>
      </c>
      <c r="E274" s="41">
        <f>'2016 год Приложение  5'!F163</f>
        <v>0</v>
      </c>
      <c r="F274" s="41">
        <f>D274+E274</f>
        <v>211.9</v>
      </c>
      <c r="G274" s="30"/>
      <c r="H274" s="30"/>
      <c r="I274" s="30"/>
      <c r="J274" s="30"/>
      <c r="K274" s="3"/>
      <c r="L274" s="165"/>
    </row>
    <row r="275" spans="1:12" ht="51" customHeight="1">
      <c r="A275" s="120" t="s">
        <v>333</v>
      </c>
      <c r="B275" s="32" t="s">
        <v>348</v>
      </c>
      <c r="C275" s="32"/>
      <c r="D275" s="41">
        <f>D276+D277</f>
        <v>39</v>
      </c>
      <c r="E275" s="41">
        <f>E276+E277</f>
        <v>0</v>
      </c>
      <c r="F275" s="41">
        <f>F276+F277</f>
        <v>39</v>
      </c>
      <c r="G275" s="30"/>
      <c r="H275" s="30"/>
      <c r="I275" s="30"/>
      <c r="J275" s="30"/>
      <c r="K275" s="3"/>
      <c r="L275" s="165"/>
    </row>
    <row r="276" spans="1:12" ht="60" customHeight="1">
      <c r="A276" s="50" t="s">
        <v>20</v>
      </c>
      <c r="B276" s="32" t="s">
        <v>348</v>
      </c>
      <c r="C276" s="32" t="s">
        <v>21</v>
      </c>
      <c r="D276" s="41">
        <f>'2016 год Приложение  5'!E165</f>
        <v>28</v>
      </c>
      <c r="E276" s="41">
        <f>'2016 год Приложение  5'!F165</f>
        <v>0</v>
      </c>
      <c r="F276" s="41">
        <f>'2016 год Приложение  5'!G165</f>
        <v>28</v>
      </c>
      <c r="G276" s="30"/>
      <c r="H276" s="30"/>
      <c r="I276" s="30"/>
      <c r="J276" s="30"/>
      <c r="K276" s="3"/>
      <c r="L276" s="165"/>
    </row>
    <row r="277" spans="1:12" ht="51" customHeight="1">
      <c r="A277" s="51" t="s">
        <v>18</v>
      </c>
      <c r="B277" s="32" t="s">
        <v>348</v>
      </c>
      <c r="C277" s="32" t="s">
        <v>13</v>
      </c>
      <c r="D277" s="41">
        <f>'2016 год Приложение  5'!E166</f>
        <v>11</v>
      </c>
      <c r="E277" s="41">
        <f>'2016 год Приложение  5'!F166</f>
        <v>0</v>
      </c>
      <c r="F277" s="41">
        <f>'2016 год Приложение  5'!G166</f>
        <v>11</v>
      </c>
      <c r="G277" s="30"/>
      <c r="H277" s="30"/>
      <c r="I277" s="30"/>
      <c r="J277" s="30"/>
      <c r="K277" s="3"/>
      <c r="L277" s="165"/>
    </row>
    <row r="278" spans="1:12" ht="206.25" customHeight="1">
      <c r="A278" s="43" t="s">
        <v>335</v>
      </c>
      <c r="B278" s="32" t="s">
        <v>291</v>
      </c>
      <c r="C278" s="40"/>
      <c r="D278" s="41">
        <f>D279+D280</f>
        <v>86.1</v>
      </c>
      <c r="E278" s="41">
        <f>E279+E280</f>
        <v>0</v>
      </c>
      <c r="F278" s="41">
        <f>F279+F280</f>
        <v>86.1</v>
      </c>
      <c r="G278" s="30"/>
      <c r="H278" s="30"/>
      <c r="I278" s="30"/>
      <c r="J278" s="30"/>
      <c r="K278" s="3"/>
      <c r="L278" s="165"/>
    </row>
    <row r="279" spans="1:12" ht="48.75" customHeight="1">
      <c r="A279" s="79" t="s">
        <v>20</v>
      </c>
      <c r="B279" s="32" t="s">
        <v>291</v>
      </c>
      <c r="C279" s="32" t="s">
        <v>21</v>
      </c>
      <c r="D279" s="41">
        <f>'2016 год Приложение  5'!E168</f>
        <v>83.8</v>
      </c>
      <c r="E279" s="41">
        <f>'2016 год Приложение  5'!F168</f>
        <v>0</v>
      </c>
      <c r="F279" s="41">
        <f>'2016 год Приложение  5'!G168</f>
        <v>83.8</v>
      </c>
      <c r="G279" s="154"/>
      <c r="H279" s="30"/>
      <c r="I279" s="30"/>
      <c r="J279" s="30"/>
      <c r="K279" s="3"/>
      <c r="L279" s="165"/>
    </row>
    <row r="280" spans="1:12" ht="65.25" customHeight="1">
      <c r="A280" s="92" t="s">
        <v>18</v>
      </c>
      <c r="B280" s="32" t="s">
        <v>291</v>
      </c>
      <c r="C280" s="32" t="s">
        <v>13</v>
      </c>
      <c r="D280" s="41">
        <f>'2016 год Приложение  5'!E169</f>
        <v>2.3</v>
      </c>
      <c r="E280" s="41">
        <f>'2016 год Приложение  5'!F169</f>
        <v>0</v>
      </c>
      <c r="F280" s="41">
        <f>'2016 год Приложение  5'!G169</f>
        <v>2.3</v>
      </c>
      <c r="G280" s="30"/>
      <c r="H280" s="30"/>
      <c r="I280" s="30"/>
      <c r="J280" s="30"/>
      <c r="K280" s="3"/>
      <c r="L280" s="165"/>
    </row>
    <row r="281" spans="1:12" ht="94.5">
      <c r="A281" s="44" t="s">
        <v>381</v>
      </c>
      <c r="B281" s="32" t="s">
        <v>292</v>
      </c>
      <c r="C281" s="40"/>
      <c r="D281" s="41">
        <f>D282+D283</f>
        <v>58.9</v>
      </c>
      <c r="E281" s="41">
        <f>E282+E283</f>
        <v>0</v>
      </c>
      <c r="F281" s="41">
        <f>F282+F283</f>
        <v>58.9</v>
      </c>
      <c r="G281" s="30"/>
      <c r="H281" s="30"/>
      <c r="I281" s="30"/>
      <c r="J281" s="30"/>
      <c r="K281" s="3"/>
      <c r="L281" s="165"/>
    </row>
    <row r="282" spans="1:12" ht="78.75">
      <c r="A282" s="79" t="s">
        <v>20</v>
      </c>
      <c r="B282" s="32" t="s">
        <v>292</v>
      </c>
      <c r="C282" s="32" t="s">
        <v>21</v>
      </c>
      <c r="D282" s="41">
        <f>'2016 год Приложение  5'!E171</f>
        <v>55.9</v>
      </c>
      <c r="E282" s="41">
        <f>'2016 год Приложение  5'!F171</f>
        <v>0</v>
      </c>
      <c r="F282" s="41">
        <f>'2016 год Приложение  5'!G171</f>
        <v>55.9</v>
      </c>
      <c r="G282" s="30"/>
      <c r="H282" s="30"/>
      <c r="I282" s="30"/>
      <c r="J282" s="30"/>
      <c r="K282" s="3"/>
      <c r="L282" s="165"/>
    </row>
    <row r="283" spans="1:10" ht="31.5">
      <c r="A283" s="92" t="s">
        <v>18</v>
      </c>
      <c r="B283" s="32" t="s">
        <v>292</v>
      </c>
      <c r="C283" s="32" t="s">
        <v>13</v>
      </c>
      <c r="D283" s="41">
        <f>'2016 год Приложение  5'!E172</f>
        <v>3</v>
      </c>
      <c r="E283" s="41">
        <f>'2016 год Приложение  5'!F172</f>
        <v>0</v>
      </c>
      <c r="F283" s="41">
        <f>'2016 год Приложение  5'!G172</f>
        <v>3</v>
      </c>
      <c r="G283" s="155"/>
      <c r="H283" s="30"/>
      <c r="I283" s="30"/>
      <c r="J283" s="31"/>
    </row>
    <row r="284" spans="1:10" ht="172.5" customHeight="1">
      <c r="A284" s="45" t="s">
        <v>334</v>
      </c>
      <c r="B284" s="48" t="s">
        <v>293</v>
      </c>
      <c r="C284" s="40"/>
      <c r="D284" s="41">
        <f>D285+D286</f>
        <v>572.3</v>
      </c>
      <c r="E284" s="41">
        <f>E285+E286</f>
        <v>0</v>
      </c>
      <c r="F284" s="41">
        <f>F285+F286</f>
        <v>572.3</v>
      </c>
      <c r="G284" s="31"/>
      <c r="H284" s="31"/>
      <c r="I284" s="30"/>
      <c r="J284" s="31"/>
    </row>
    <row r="285" spans="1:10" ht="78.75">
      <c r="A285" s="79" t="s">
        <v>20</v>
      </c>
      <c r="B285" s="48" t="s">
        <v>293</v>
      </c>
      <c r="C285" s="32" t="s">
        <v>21</v>
      </c>
      <c r="D285" s="41">
        <f>'2016 год Приложение  5'!E174</f>
        <v>559.3</v>
      </c>
      <c r="E285" s="41">
        <f>'2016 год Приложение  5'!F174</f>
        <v>0</v>
      </c>
      <c r="F285" s="41">
        <f>'2016 год Приложение  5'!G174</f>
        <v>559.3</v>
      </c>
      <c r="G285" s="31"/>
      <c r="H285" s="31"/>
      <c r="I285" s="30"/>
      <c r="J285" s="31"/>
    </row>
    <row r="286" spans="1:10" ht="31.5">
      <c r="A286" s="92" t="s">
        <v>18</v>
      </c>
      <c r="B286" s="48" t="s">
        <v>293</v>
      </c>
      <c r="C286" s="32" t="s">
        <v>13</v>
      </c>
      <c r="D286" s="41">
        <f>'2016 год Приложение  5'!E175</f>
        <v>13</v>
      </c>
      <c r="E286" s="41">
        <f>'2016 год Приложение  5'!F175</f>
        <v>0</v>
      </c>
      <c r="F286" s="41">
        <f>'2016 год Приложение  5'!G175</f>
        <v>13</v>
      </c>
      <c r="G286" s="31"/>
      <c r="H286" s="31"/>
      <c r="I286" s="30"/>
      <c r="J286" s="31"/>
    </row>
    <row r="287" spans="1:10" ht="78.75">
      <c r="A287" s="27" t="s">
        <v>380</v>
      </c>
      <c r="B287" s="32" t="s">
        <v>294</v>
      </c>
      <c r="C287" s="40"/>
      <c r="D287" s="42">
        <f>D288+D289</f>
        <v>58.9</v>
      </c>
      <c r="E287" s="42">
        <f>E288+E289</f>
        <v>0</v>
      </c>
      <c r="F287" s="42">
        <f>F288+F289</f>
        <v>58.9</v>
      </c>
      <c r="G287" s="31"/>
      <c r="H287" s="31"/>
      <c r="I287" s="30"/>
      <c r="J287" s="31"/>
    </row>
    <row r="288" spans="1:10" ht="78.75">
      <c r="A288" s="79" t="s">
        <v>20</v>
      </c>
      <c r="B288" s="32" t="s">
        <v>294</v>
      </c>
      <c r="C288" s="32" t="s">
        <v>21</v>
      </c>
      <c r="D288" s="41">
        <f>'2016 год Приложение  5'!E177</f>
        <v>55.9</v>
      </c>
      <c r="E288" s="41">
        <f>'2016 год Приложение  5'!F177</f>
        <v>0</v>
      </c>
      <c r="F288" s="41">
        <f>'2016 год Приложение  5'!G177</f>
        <v>55.9</v>
      </c>
      <c r="G288" s="31"/>
      <c r="H288" s="31"/>
      <c r="I288" s="30"/>
      <c r="J288" s="31"/>
    </row>
    <row r="289" spans="1:10" ht="31.5">
      <c r="A289" s="92" t="s">
        <v>18</v>
      </c>
      <c r="B289" s="32" t="s">
        <v>294</v>
      </c>
      <c r="C289" s="32" t="s">
        <v>13</v>
      </c>
      <c r="D289" s="41">
        <f>'2016 год Приложение  5'!E178</f>
        <v>3</v>
      </c>
      <c r="E289" s="41">
        <f>'2016 год Приложение  5'!F178</f>
        <v>0</v>
      </c>
      <c r="F289" s="41">
        <f>'2016 год Приложение  5'!G178</f>
        <v>3</v>
      </c>
      <c r="G289" s="31"/>
      <c r="H289" s="31"/>
      <c r="I289" s="30"/>
      <c r="J289" s="31"/>
    </row>
    <row r="290" spans="1:12" ht="31.5">
      <c r="A290" s="51" t="s">
        <v>71</v>
      </c>
      <c r="B290" s="17" t="s">
        <v>283</v>
      </c>
      <c r="C290" s="48"/>
      <c r="D290" s="10">
        <f>D291+D293+D292</f>
        <v>1410</v>
      </c>
      <c r="E290" s="10">
        <f>E291+E293+E292</f>
        <v>-15.000000000000002</v>
      </c>
      <c r="F290" s="10">
        <f>F291+F293+F292</f>
        <v>1395</v>
      </c>
      <c r="G290" s="30"/>
      <c r="H290" s="30"/>
      <c r="I290" s="30"/>
      <c r="J290" s="30"/>
      <c r="K290" s="3"/>
      <c r="L290" s="165"/>
    </row>
    <row r="291" spans="1:12" ht="31.5">
      <c r="A291" s="70" t="s">
        <v>18</v>
      </c>
      <c r="B291" s="17" t="s">
        <v>283</v>
      </c>
      <c r="C291" s="32" t="s">
        <v>13</v>
      </c>
      <c r="D291" s="41">
        <f>'2016 год Приложение  5'!E180</f>
        <v>1184.5</v>
      </c>
      <c r="E291" s="41">
        <f>'2016 год Приложение  5'!F180</f>
        <v>-17.1</v>
      </c>
      <c r="F291" s="41">
        <f>'2016 год Приложение  5'!G180</f>
        <v>1167.4</v>
      </c>
      <c r="G291" s="30"/>
      <c r="H291" s="30"/>
      <c r="I291" s="30"/>
      <c r="J291" s="30"/>
      <c r="K291" s="3"/>
      <c r="L291" s="165"/>
    </row>
    <row r="292" spans="1:12" ht="15.75">
      <c r="A292" s="77" t="s">
        <v>111</v>
      </c>
      <c r="B292" s="17" t="s">
        <v>283</v>
      </c>
      <c r="C292" s="32" t="s">
        <v>22</v>
      </c>
      <c r="D292" s="41">
        <f>'2016 год Приложение  5'!E181</f>
        <v>60</v>
      </c>
      <c r="E292" s="41">
        <f>'2016 год Приложение  5'!F181</f>
        <v>0</v>
      </c>
      <c r="F292" s="41">
        <f>'2016 год Приложение  5'!G181</f>
        <v>60</v>
      </c>
      <c r="G292" s="30"/>
      <c r="H292" s="30"/>
      <c r="I292" s="30"/>
      <c r="J292" s="30"/>
      <c r="K292" s="3"/>
      <c r="L292" s="165"/>
    </row>
    <row r="293" spans="1:12" ht="15.75">
      <c r="A293" s="93" t="s">
        <v>14</v>
      </c>
      <c r="B293" s="17" t="s">
        <v>283</v>
      </c>
      <c r="C293" s="32" t="s">
        <v>17</v>
      </c>
      <c r="D293" s="41">
        <f>'2016 год Приложение  5'!E182</f>
        <v>165.5</v>
      </c>
      <c r="E293" s="41">
        <f>'2016 год Приложение  5'!F182</f>
        <v>2.1</v>
      </c>
      <c r="F293" s="41">
        <f>'2016 год Приложение  5'!G182</f>
        <v>167.6</v>
      </c>
      <c r="G293" s="30"/>
      <c r="H293" s="30"/>
      <c r="I293" s="30"/>
      <c r="J293" s="30"/>
      <c r="K293" s="3"/>
      <c r="L293" s="165"/>
    </row>
    <row r="294" spans="1:10" ht="15.75">
      <c r="A294" s="12" t="s">
        <v>115</v>
      </c>
      <c r="B294" s="13" t="s">
        <v>284</v>
      </c>
      <c r="C294" s="13" t="s">
        <v>0</v>
      </c>
      <c r="D294" s="14">
        <f>D295+D297+D299+D301</f>
        <v>6190</v>
      </c>
      <c r="E294" s="14">
        <f>E295+E297+E299+E301</f>
        <v>760</v>
      </c>
      <c r="F294" s="14">
        <f>F295+F297+F299+F301</f>
        <v>6950</v>
      </c>
      <c r="G294" s="31"/>
      <c r="H294" s="31"/>
      <c r="I294" s="30"/>
      <c r="J294" s="31"/>
    </row>
    <row r="295" spans="1:10" ht="47.25">
      <c r="A295" s="18" t="s">
        <v>26</v>
      </c>
      <c r="B295" s="17" t="s">
        <v>285</v>
      </c>
      <c r="C295" s="9"/>
      <c r="D295" s="10">
        <f>D296</f>
        <v>30</v>
      </c>
      <c r="E295" s="10">
        <f>E296</f>
        <v>0</v>
      </c>
      <c r="F295" s="10">
        <f>F296</f>
        <v>30</v>
      </c>
      <c r="G295" s="31"/>
      <c r="H295" s="31"/>
      <c r="I295" s="30"/>
      <c r="J295" s="31"/>
    </row>
    <row r="296" spans="1:10" ht="31.5">
      <c r="A296" s="70" t="s">
        <v>18</v>
      </c>
      <c r="B296" s="17" t="s">
        <v>285</v>
      </c>
      <c r="C296" s="32" t="s">
        <v>13</v>
      </c>
      <c r="D296" s="41">
        <f>'2016 год Приложение  5'!E185</f>
        <v>30</v>
      </c>
      <c r="E296" s="41">
        <f>'2016 год Приложение  5'!F185</f>
        <v>0</v>
      </c>
      <c r="F296" s="41">
        <f>'2016 год Приложение  5'!G185</f>
        <v>30</v>
      </c>
      <c r="G296" s="31"/>
      <c r="H296" s="31"/>
      <c r="I296" s="30"/>
      <c r="J296" s="31"/>
    </row>
    <row r="297" spans="1:10" ht="63">
      <c r="A297" s="80" t="s">
        <v>27</v>
      </c>
      <c r="B297" s="17" t="s">
        <v>286</v>
      </c>
      <c r="C297" s="40"/>
      <c r="D297" s="41">
        <f>D298</f>
        <v>5400</v>
      </c>
      <c r="E297" s="41">
        <f>E298</f>
        <v>760</v>
      </c>
      <c r="F297" s="41">
        <f>F298</f>
        <v>6160</v>
      </c>
      <c r="G297" s="31"/>
      <c r="H297" s="31"/>
      <c r="I297" s="31"/>
      <c r="J297" s="31"/>
    </row>
    <row r="298" spans="1:10" ht="31.5">
      <c r="A298" s="94" t="s">
        <v>15</v>
      </c>
      <c r="B298" s="17" t="s">
        <v>286</v>
      </c>
      <c r="C298" s="32" t="s">
        <v>16</v>
      </c>
      <c r="D298" s="41">
        <f>'2016 год Приложение  5'!E187</f>
        <v>5400</v>
      </c>
      <c r="E298" s="41">
        <f>'2016 год Приложение  5'!F187</f>
        <v>760</v>
      </c>
      <c r="F298" s="41">
        <f>'2016 год Приложение  5'!G187</f>
        <v>6160</v>
      </c>
      <c r="G298" s="31"/>
      <c r="H298" s="31"/>
      <c r="I298" s="31"/>
      <c r="J298" s="31"/>
    </row>
    <row r="299" spans="1:10" ht="78.75">
      <c r="A299" s="18" t="s">
        <v>28</v>
      </c>
      <c r="B299" s="17" t="s">
        <v>287</v>
      </c>
      <c r="C299" s="9"/>
      <c r="D299" s="10">
        <f>D300</f>
        <v>500</v>
      </c>
      <c r="E299" s="10">
        <f>E300</f>
        <v>0</v>
      </c>
      <c r="F299" s="10">
        <f>F300</f>
        <v>500</v>
      </c>
      <c r="G299" s="31"/>
      <c r="H299" s="31"/>
      <c r="I299" s="31"/>
      <c r="J299" s="31"/>
    </row>
    <row r="300" spans="1:10" ht="31.5">
      <c r="A300" s="70" t="s">
        <v>18</v>
      </c>
      <c r="B300" s="17" t="s">
        <v>287</v>
      </c>
      <c r="C300" s="32" t="s">
        <v>13</v>
      </c>
      <c r="D300" s="41">
        <f>'2016 год Приложение  5'!E189</f>
        <v>500</v>
      </c>
      <c r="E300" s="41">
        <f>'2016 год Приложение  5'!F189</f>
        <v>0</v>
      </c>
      <c r="F300" s="41">
        <f>'2016 год Приложение  5'!G189</f>
        <v>500</v>
      </c>
      <c r="G300" s="31"/>
      <c r="H300" s="31"/>
      <c r="I300" s="31"/>
      <c r="J300" s="31"/>
    </row>
    <row r="301" spans="1:10" ht="20.25" customHeight="1">
      <c r="A301" s="81" t="s">
        <v>100</v>
      </c>
      <c r="B301" s="17" t="s">
        <v>288</v>
      </c>
      <c r="C301" s="40"/>
      <c r="D301" s="41">
        <f>D302</f>
        <v>260</v>
      </c>
      <c r="E301" s="41">
        <f>E302</f>
        <v>0</v>
      </c>
      <c r="F301" s="41">
        <f>F302</f>
        <v>260</v>
      </c>
      <c r="G301" s="31"/>
      <c r="H301" s="31"/>
      <c r="I301" s="31"/>
      <c r="J301" s="31"/>
    </row>
    <row r="302" spans="1:10" ht="31.5">
      <c r="A302" s="70" t="s">
        <v>18</v>
      </c>
      <c r="B302" s="17" t="s">
        <v>288</v>
      </c>
      <c r="C302" s="32" t="s">
        <v>13</v>
      </c>
      <c r="D302" s="41">
        <f>'2016 год Приложение  5'!E191</f>
        <v>260</v>
      </c>
      <c r="E302" s="41">
        <f>'2016 год Приложение  5'!F191</f>
        <v>0</v>
      </c>
      <c r="F302" s="41">
        <f>'2016 год Приложение  5'!G191</f>
        <v>260</v>
      </c>
      <c r="G302" s="31"/>
      <c r="H302" s="31"/>
      <c r="I302" s="31"/>
      <c r="J302" s="31"/>
    </row>
    <row r="303" spans="1:10" ht="31.5">
      <c r="A303" s="12" t="s">
        <v>127</v>
      </c>
      <c r="B303" s="13" t="s">
        <v>289</v>
      </c>
      <c r="C303" s="13" t="s">
        <v>0</v>
      </c>
      <c r="D303" s="14">
        <f aca="true" t="shared" si="0" ref="D303:F304">D304</f>
        <v>5</v>
      </c>
      <c r="E303" s="14">
        <f t="shared" si="0"/>
        <v>0</v>
      </c>
      <c r="F303" s="14">
        <f t="shared" si="0"/>
        <v>5</v>
      </c>
      <c r="G303" s="31"/>
      <c r="H303" s="155"/>
      <c r="I303" s="30"/>
      <c r="J303" s="31"/>
    </row>
    <row r="304" spans="1:10" ht="31.5">
      <c r="A304" s="80" t="s">
        <v>137</v>
      </c>
      <c r="B304" s="17" t="s">
        <v>290</v>
      </c>
      <c r="C304" s="40"/>
      <c r="D304" s="41">
        <f t="shared" si="0"/>
        <v>5</v>
      </c>
      <c r="E304" s="41">
        <f t="shared" si="0"/>
        <v>0</v>
      </c>
      <c r="F304" s="41">
        <f t="shared" si="0"/>
        <v>5</v>
      </c>
      <c r="G304" s="31"/>
      <c r="H304" s="31"/>
      <c r="I304" s="31"/>
      <c r="J304" s="31"/>
    </row>
    <row r="305" spans="1:10" ht="31.5">
      <c r="A305" s="70" t="s">
        <v>18</v>
      </c>
      <c r="B305" s="17" t="s">
        <v>290</v>
      </c>
      <c r="C305" s="32" t="s">
        <v>13</v>
      </c>
      <c r="D305" s="41">
        <f>'2016 год Приложение  5'!E194</f>
        <v>5</v>
      </c>
      <c r="E305" s="41">
        <f>'2016 год Приложение  5'!F194</f>
        <v>0</v>
      </c>
      <c r="F305" s="41">
        <f>'2016 год Приложение  5'!G194</f>
        <v>5</v>
      </c>
      <c r="G305" s="31"/>
      <c r="H305" s="31"/>
      <c r="I305" s="31"/>
      <c r="J305" s="31"/>
    </row>
    <row r="306" spans="1:13" ht="31.5">
      <c r="A306" s="34" t="s">
        <v>128</v>
      </c>
      <c r="B306" s="35" t="s">
        <v>234</v>
      </c>
      <c r="C306" s="35" t="s">
        <v>0</v>
      </c>
      <c r="D306" s="36">
        <f>D307+D312+D319+D324</f>
        <v>22107.4</v>
      </c>
      <c r="E306" s="36">
        <f>E307+E312+E319+E324</f>
        <v>0</v>
      </c>
      <c r="F306" s="36">
        <f>F307+F312+F319+F324</f>
        <v>22107.4</v>
      </c>
      <c r="G306" s="31"/>
      <c r="H306" s="31"/>
      <c r="I306" s="30"/>
      <c r="J306" s="31"/>
      <c r="L306" s="198">
        <f>'2016 год Приложение  5'!G416+'2016 год Приложение  5'!G195</f>
        <v>22107.4</v>
      </c>
      <c r="M306" s="198">
        <f>F306-L306</f>
        <v>0</v>
      </c>
    </row>
    <row r="307" spans="1:10" ht="31.5">
      <c r="A307" s="12" t="s">
        <v>129</v>
      </c>
      <c r="B307" s="13" t="s">
        <v>254</v>
      </c>
      <c r="C307" s="13" t="s">
        <v>0</v>
      </c>
      <c r="D307" s="14">
        <f>D310+D308</f>
        <v>5560</v>
      </c>
      <c r="E307" s="14">
        <f>E310+E308</f>
        <v>0</v>
      </c>
      <c r="F307" s="14">
        <f>F310+F308</f>
        <v>5560</v>
      </c>
      <c r="G307" s="31"/>
      <c r="H307" s="156"/>
      <c r="I307" s="30"/>
      <c r="J307" s="31"/>
    </row>
    <row r="308" spans="1:10" ht="63">
      <c r="A308" s="16" t="s">
        <v>46</v>
      </c>
      <c r="B308" s="9" t="s">
        <v>255</v>
      </c>
      <c r="C308" s="9"/>
      <c r="D308" s="22">
        <f>D309</f>
        <v>5500</v>
      </c>
      <c r="E308" s="22">
        <f>E309</f>
        <v>0</v>
      </c>
      <c r="F308" s="22">
        <f>F309</f>
        <v>5500</v>
      </c>
      <c r="G308" s="31"/>
      <c r="H308" s="31"/>
      <c r="I308" s="31"/>
      <c r="J308" s="31"/>
    </row>
    <row r="309" spans="1:10" ht="47.25">
      <c r="A309" s="47" t="s">
        <v>34</v>
      </c>
      <c r="B309" s="40" t="s">
        <v>255</v>
      </c>
      <c r="C309" s="32" t="s">
        <v>35</v>
      </c>
      <c r="D309" s="41">
        <f>'2016 год Приложение  5'!E198</f>
        <v>5500</v>
      </c>
      <c r="E309" s="41">
        <f>'2016 год Приложение  5'!F198</f>
        <v>0</v>
      </c>
      <c r="F309" s="41">
        <f>'2016 год Приложение  5'!G198</f>
        <v>5500</v>
      </c>
      <c r="G309" s="31"/>
      <c r="H309" s="31"/>
      <c r="I309" s="31"/>
      <c r="J309" s="31"/>
    </row>
    <row r="310" spans="1:10" ht="47.25">
      <c r="A310" s="47" t="s">
        <v>47</v>
      </c>
      <c r="B310" s="40" t="s">
        <v>256</v>
      </c>
      <c r="C310" s="83"/>
      <c r="D310" s="82">
        <f>D311</f>
        <v>60</v>
      </c>
      <c r="E310" s="82">
        <f>E311</f>
        <v>0</v>
      </c>
      <c r="F310" s="82">
        <f>F311</f>
        <v>60</v>
      </c>
      <c r="G310" s="31"/>
      <c r="H310" s="31"/>
      <c r="I310" s="31"/>
      <c r="J310" s="31"/>
    </row>
    <row r="311" spans="1:10" ht="31.5">
      <c r="A311" s="47" t="s">
        <v>18</v>
      </c>
      <c r="B311" s="40" t="s">
        <v>256</v>
      </c>
      <c r="C311" s="32" t="s">
        <v>13</v>
      </c>
      <c r="D311" s="41">
        <f>'2016 год Приложение  5'!E200</f>
        <v>60</v>
      </c>
      <c r="E311" s="41">
        <f>'2016 год Приложение  5'!F200</f>
        <v>0</v>
      </c>
      <c r="F311" s="41">
        <f>'2016 год Приложение  5'!G200</f>
        <v>60</v>
      </c>
      <c r="G311" s="31"/>
      <c r="H311" s="31"/>
      <c r="I311" s="31"/>
      <c r="J311" s="31"/>
    </row>
    <row r="312" spans="1:10" ht="47.25">
      <c r="A312" s="12" t="s">
        <v>84</v>
      </c>
      <c r="B312" s="13" t="s">
        <v>257</v>
      </c>
      <c r="C312" s="13" t="s">
        <v>0</v>
      </c>
      <c r="D312" s="14">
        <f>D313+D317</f>
        <v>12991</v>
      </c>
      <c r="E312" s="14">
        <f>E313+E317</f>
        <v>0</v>
      </c>
      <c r="F312" s="14">
        <f>F313+F317</f>
        <v>12991</v>
      </c>
      <c r="G312" s="31"/>
      <c r="H312" s="155"/>
      <c r="I312" s="30"/>
      <c r="J312" s="31"/>
    </row>
    <row r="313" spans="1:10" ht="15.75">
      <c r="A313" s="47" t="s">
        <v>104</v>
      </c>
      <c r="B313" s="40" t="s">
        <v>258</v>
      </c>
      <c r="C313" s="83"/>
      <c r="D313" s="41">
        <f>D315+D314+D316</f>
        <v>12886</v>
      </c>
      <c r="E313" s="41">
        <f>E315+E314+E316</f>
        <v>0</v>
      </c>
      <c r="F313" s="41">
        <f>F315+F314+F316</f>
        <v>12886</v>
      </c>
      <c r="G313" s="31"/>
      <c r="H313" s="31"/>
      <c r="I313" s="31"/>
      <c r="J313" s="31"/>
    </row>
    <row r="314" spans="1:10" ht="78.75">
      <c r="A314" s="77" t="s">
        <v>20</v>
      </c>
      <c r="B314" s="40" t="s">
        <v>258</v>
      </c>
      <c r="C314" s="32" t="s">
        <v>21</v>
      </c>
      <c r="D314" s="41">
        <f>'2016 год Приложение  5'!E203</f>
        <v>11307.5</v>
      </c>
      <c r="E314" s="41">
        <f>'2016 год Приложение  5'!F203</f>
        <v>-35</v>
      </c>
      <c r="F314" s="41">
        <f>'2016 год Приложение  5'!G203</f>
        <v>11272.5</v>
      </c>
      <c r="G314" s="31"/>
      <c r="H314" s="31"/>
      <c r="I314" s="31"/>
      <c r="J314" s="31"/>
    </row>
    <row r="315" spans="1:10" ht="31.5">
      <c r="A315" s="47" t="s">
        <v>18</v>
      </c>
      <c r="B315" s="40" t="s">
        <v>258</v>
      </c>
      <c r="C315" s="32" t="s">
        <v>13</v>
      </c>
      <c r="D315" s="41">
        <f>'2016 год Приложение  5'!E204</f>
        <v>1572.3</v>
      </c>
      <c r="E315" s="41">
        <f>'2016 год Приложение  5'!F204</f>
        <v>35</v>
      </c>
      <c r="F315" s="41">
        <f>'2016 год Приложение  5'!G204</f>
        <v>1607.3</v>
      </c>
      <c r="G315" s="31"/>
      <c r="H315" s="31"/>
      <c r="I315" s="31"/>
      <c r="J315" s="31"/>
    </row>
    <row r="316" spans="1:10" ht="15.75">
      <c r="A316" s="47" t="s">
        <v>14</v>
      </c>
      <c r="B316" s="40" t="s">
        <v>382</v>
      </c>
      <c r="C316" s="32" t="s">
        <v>17</v>
      </c>
      <c r="D316" s="41">
        <f>'2016 год Приложение  5'!E205</f>
        <v>6.199999999999999</v>
      </c>
      <c r="E316" s="41">
        <f>'2016 год Приложение  5'!F205</f>
        <v>0</v>
      </c>
      <c r="F316" s="41">
        <f>D316+E316</f>
        <v>6.199999999999999</v>
      </c>
      <c r="G316" s="31"/>
      <c r="H316" s="31"/>
      <c r="I316" s="31"/>
      <c r="J316" s="31"/>
    </row>
    <row r="317" spans="1:10" ht="31.5">
      <c r="A317" s="84" t="s">
        <v>48</v>
      </c>
      <c r="B317" s="40" t="s">
        <v>259</v>
      </c>
      <c r="C317" s="40"/>
      <c r="D317" s="41">
        <f>D318</f>
        <v>105</v>
      </c>
      <c r="E317" s="41">
        <f>E318</f>
        <v>0</v>
      </c>
      <c r="F317" s="41">
        <f>F318</f>
        <v>105</v>
      </c>
      <c r="G317" s="31"/>
      <c r="H317" s="31"/>
      <c r="I317" s="31"/>
      <c r="J317" s="31"/>
    </row>
    <row r="318" spans="1:10" ht="31.5">
      <c r="A318" s="47" t="s">
        <v>18</v>
      </c>
      <c r="B318" s="40" t="s">
        <v>259</v>
      </c>
      <c r="C318" s="40" t="s">
        <v>13</v>
      </c>
      <c r="D318" s="41">
        <f>'2016 год Приложение  5'!E207</f>
        <v>105</v>
      </c>
      <c r="E318" s="41">
        <f>'2016 год Приложение  5'!F207</f>
        <v>0</v>
      </c>
      <c r="F318" s="41">
        <f>'2016 год Приложение  5'!G207</f>
        <v>105</v>
      </c>
      <c r="G318" s="31"/>
      <c r="H318" s="31"/>
      <c r="I318" s="31"/>
      <c r="J318" s="31"/>
    </row>
    <row r="319" spans="1:10" ht="31.5">
      <c r="A319" s="28" t="s">
        <v>135</v>
      </c>
      <c r="B319" s="13" t="s">
        <v>233</v>
      </c>
      <c r="C319" s="13"/>
      <c r="D319" s="14">
        <f>D322+D320</f>
        <v>3291.4</v>
      </c>
      <c r="E319" s="14">
        <f>E322+E320</f>
        <v>0</v>
      </c>
      <c r="F319" s="14">
        <f>F322+F320</f>
        <v>3291.4</v>
      </c>
      <c r="G319" s="31"/>
      <c r="H319" s="155"/>
      <c r="I319" s="30"/>
      <c r="J319" s="31"/>
    </row>
    <row r="320" spans="1:10" ht="47.25">
      <c r="A320" s="26" t="s">
        <v>49</v>
      </c>
      <c r="B320" s="40" t="s">
        <v>260</v>
      </c>
      <c r="C320" s="25"/>
      <c r="D320" s="24">
        <f>D321</f>
        <v>971.4</v>
      </c>
      <c r="E320" s="24">
        <f>E321</f>
        <v>0</v>
      </c>
      <c r="F320" s="24">
        <f>F321</f>
        <v>971.4</v>
      </c>
      <c r="G320" s="31"/>
      <c r="H320" s="31"/>
      <c r="I320" s="31"/>
      <c r="J320" s="31"/>
    </row>
    <row r="321" spans="1:10" ht="31.5">
      <c r="A321" s="47" t="s">
        <v>18</v>
      </c>
      <c r="B321" s="40" t="s">
        <v>260</v>
      </c>
      <c r="C321" s="40" t="s">
        <v>13</v>
      </c>
      <c r="D321" s="41">
        <f>'2016 год Приложение  5'!E210</f>
        <v>971.4</v>
      </c>
      <c r="E321" s="41">
        <f>'2016 год Приложение  5'!F210</f>
        <v>0</v>
      </c>
      <c r="F321" s="41">
        <f>'2016 год Приложение  5'!G210</f>
        <v>971.4</v>
      </c>
      <c r="G321" s="31"/>
      <c r="H321" s="31"/>
      <c r="I321" s="31"/>
      <c r="J321" s="31"/>
    </row>
    <row r="322" spans="1:10" ht="63">
      <c r="A322" s="77" t="s">
        <v>50</v>
      </c>
      <c r="B322" s="40" t="s">
        <v>261</v>
      </c>
      <c r="C322" s="40"/>
      <c r="D322" s="41">
        <f>D323</f>
        <v>2320</v>
      </c>
      <c r="E322" s="41">
        <f>E323</f>
        <v>0</v>
      </c>
      <c r="F322" s="41">
        <f>F323</f>
        <v>2320</v>
      </c>
      <c r="G322" s="31"/>
      <c r="H322" s="31"/>
      <c r="I322" s="31"/>
      <c r="J322" s="31"/>
    </row>
    <row r="323" spans="1:10" ht="31.5">
      <c r="A323" s="95" t="s">
        <v>15</v>
      </c>
      <c r="B323" s="40" t="s">
        <v>261</v>
      </c>
      <c r="C323" s="40" t="s">
        <v>16</v>
      </c>
      <c r="D323" s="41">
        <f>'2016 год Приложение  5'!E419</f>
        <v>2320</v>
      </c>
      <c r="E323" s="41">
        <f>'2016 год Приложение  5'!F419</f>
        <v>0</v>
      </c>
      <c r="F323" s="41">
        <f>'2016 год Приложение  5'!G419</f>
        <v>2320</v>
      </c>
      <c r="G323" s="31"/>
      <c r="H323" s="31"/>
      <c r="I323" s="31"/>
      <c r="J323" s="31"/>
    </row>
    <row r="324" spans="1:10" ht="31.5">
      <c r="A324" s="28" t="s">
        <v>172</v>
      </c>
      <c r="B324" s="13" t="s">
        <v>262</v>
      </c>
      <c r="C324" s="13"/>
      <c r="D324" s="14">
        <f>D327+D325+D329</f>
        <v>265</v>
      </c>
      <c r="E324" s="14">
        <f>E327+E325+E329</f>
        <v>0</v>
      </c>
      <c r="F324" s="14">
        <f>F327+F325+F329</f>
        <v>265</v>
      </c>
      <c r="G324" s="31"/>
      <c r="H324" s="155"/>
      <c r="I324" s="30"/>
      <c r="J324" s="31"/>
    </row>
    <row r="325" spans="1:10" ht="78.75">
      <c r="A325" s="46" t="s">
        <v>173</v>
      </c>
      <c r="B325" s="40" t="s">
        <v>263</v>
      </c>
      <c r="C325" s="25"/>
      <c r="D325" s="41">
        <f>'2016 год Приложение  5'!E212</f>
        <v>80</v>
      </c>
      <c r="E325" s="41">
        <f>'2016 год Приложение  5'!F212</f>
        <v>0</v>
      </c>
      <c r="F325" s="41">
        <f>'2016 год Приложение  5'!G212</f>
        <v>80</v>
      </c>
      <c r="G325" s="31"/>
      <c r="H325" s="31"/>
      <c r="I325" s="31"/>
      <c r="J325" s="31"/>
    </row>
    <row r="326" spans="1:10" ht="31.5">
      <c r="A326" s="46" t="s">
        <v>18</v>
      </c>
      <c r="B326" s="40" t="s">
        <v>263</v>
      </c>
      <c r="C326" s="25" t="s">
        <v>13</v>
      </c>
      <c r="D326" s="41">
        <f>'2016 год Приложение  5'!E213</f>
        <v>80</v>
      </c>
      <c r="E326" s="41">
        <f>'2016 год Приложение  5'!F213</f>
        <v>0</v>
      </c>
      <c r="F326" s="41">
        <f>'2016 год Приложение  5'!G213</f>
        <v>80</v>
      </c>
      <c r="G326" s="31"/>
      <c r="H326" s="31"/>
      <c r="I326" s="31"/>
      <c r="J326" s="31"/>
    </row>
    <row r="327" spans="1:10" ht="78.75">
      <c r="A327" s="46" t="s">
        <v>174</v>
      </c>
      <c r="B327" s="40" t="s">
        <v>264</v>
      </c>
      <c r="C327" s="25"/>
      <c r="D327" s="41">
        <f>'2016 год Приложение  5'!E214</f>
        <v>105</v>
      </c>
      <c r="E327" s="41">
        <f>'2016 год Приложение  5'!F214</f>
        <v>0</v>
      </c>
      <c r="F327" s="41">
        <f>'2016 год Приложение  5'!G214</f>
        <v>105</v>
      </c>
      <c r="G327" s="31"/>
      <c r="H327" s="31"/>
      <c r="I327" s="31"/>
      <c r="J327" s="31"/>
    </row>
    <row r="328" spans="1:10" ht="31.5">
      <c r="A328" s="46" t="s">
        <v>18</v>
      </c>
      <c r="B328" s="40" t="s">
        <v>264</v>
      </c>
      <c r="C328" s="25" t="s">
        <v>13</v>
      </c>
      <c r="D328" s="41">
        <f>'2016 год Приложение  5'!E215</f>
        <v>105</v>
      </c>
      <c r="E328" s="41">
        <f>'2016 год Приложение  5'!F215</f>
        <v>0</v>
      </c>
      <c r="F328" s="41">
        <f>'2016 год Приложение  5'!G215</f>
        <v>105</v>
      </c>
      <c r="G328" s="31"/>
      <c r="H328" s="31"/>
      <c r="I328" s="31"/>
      <c r="J328" s="31"/>
    </row>
    <row r="329" spans="1:10" ht="63">
      <c r="A329" s="46" t="s">
        <v>175</v>
      </c>
      <c r="B329" s="40" t="s">
        <v>265</v>
      </c>
      <c r="C329" s="25"/>
      <c r="D329" s="41">
        <f>'2016 год Приложение  5'!E216</f>
        <v>80</v>
      </c>
      <c r="E329" s="41">
        <f>'2016 год Приложение  5'!F216</f>
        <v>0</v>
      </c>
      <c r="F329" s="41">
        <f>'2016 год Приложение  5'!G216</f>
        <v>80</v>
      </c>
      <c r="G329" s="31"/>
      <c r="H329" s="31"/>
      <c r="I329" s="31"/>
      <c r="J329" s="31"/>
    </row>
    <row r="330" spans="1:10" ht="31.5">
      <c r="A330" s="46" t="s">
        <v>18</v>
      </c>
      <c r="B330" s="40" t="s">
        <v>265</v>
      </c>
      <c r="C330" s="25" t="s">
        <v>13</v>
      </c>
      <c r="D330" s="41">
        <f>'2016 год Приложение  5'!E217</f>
        <v>40</v>
      </c>
      <c r="E330" s="41">
        <f>'2016 год Приложение  5'!F217</f>
        <v>0</v>
      </c>
      <c r="F330" s="41">
        <f>'2016 год Приложение  5'!G217</f>
        <v>40</v>
      </c>
      <c r="G330" s="31"/>
      <c r="H330" s="31"/>
      <c r="I330" s="31"/>
      <c r="J330" s="31"/>
    </row>
    <row r="331" spans="1:10" ht="15.75">
      <c r="A331" s="46" t="s">
        <v>38</v>
      </c>
      <c r="B331" s="40" t="s">
        <v>265</v>
      </c>
      <c r="C331" s="25" t="s">
        <v>22</v>
      </c>
      <c r="D331" s="41">
        <f>'2016 год Приложение  5'!E218</f>
        <v>40</v>
      </c>
      <c r="E331" s="41">
        <f>'2016 год Приложение  5'!F218</f>
        <v>0</v>
      </c>
      <c r="F331" s="41">
        <f>'2016 год Приложение  5'!G218</f>
        <v>40</v>
      </c>
      <c r="G331" s="31"/>
      <c r="H331" s="31"/>
      <c r="I331" s="31"/>
      <c r="J331" s="31"/>
    </row>
    <row r="332" spans="1:13" ht="31.5">
      <c r="A332" s="34" t="s">
        <v>130</v>
      </c>
      <c r="B332" s="35" t="s">
        <v>295</v>
      </c>
      <c r="C332" s="35" t="s">
        <v>0</v>
      </c>
      <c r="D332" s="36">
        <f>D333+D338+D357</f>
        <v>46420.6</v>
      </c>
      <c r="E332" s="36">
        <f>E333+E338+E357</f>
        <v>0</v>
      </c>
      <c r="F332" s="36">
        <f>F333+F338+F357</f>
        <v>46420.6</v>
      </c>
      <c r="G332" s="31"/>
      <c r="H332" s="155"/>
      <c r="I332" s="30"/>
      <c r="J332" s="31"/>
      <c r="L332" s="198">
        <f>'2016 год Приложение  5'!G420+'2016 год Приложение  5'!G219</f>
        <v>46420.59999999999</v>
      </c>
      <c r="M332" s="198">
        <f>F332-L332</f>
        <v>0</v>
      </c>
    </row>
    <row r="333" spans="1:10" ht="31.5">
      <c r="A333" s="12" t="s">
        <v>131</v>
      </c>
      <c r="B333" s="13" t="s">
        <v>296</v>
      </c>
      <c r="C333" s="13" t="s">
        <v>0</v>
      </c>
      <c r="D333" s="14">
        <f>D334+D336</f>
        <v>50</v>
      </c>
      <c r="E333" s="14">
        <f>E334+E336</f>
        <v>0</v>
      </c>
      <c r="F333" s="14">
        <f>F334+F336</f>
        <v>50</v>
      </c>
      <c r="G333" s="31"/>
      <c r="H333" s="155"/>
      <c r="I333" s="30"/>
      <c r="J333" s="31"/>
    </row>
    <row r="334" spans="1:10" ht="63">
      <c r="A334" s="16" t="s">
        <v>85</v>
      </c>
      <c r="B334" s="17" t="s">
        <v>297</v>
      </c>
      <c r="C334" s="9"/>
      <c r="D334" s="10">
        <f>D335</f>
        <v>17</v>
      </c>
      <c r="E334" s="10">
        <f>E335</f>
        <v>0</v>
      </c>
      <c r="F334" s="10">
        <f>F335</f>
        <v>17</v>
      </c>
      <c r="G334" s="31"/>
      <c r="H334" s="31"/>
      <c r="I334" s="31"/>
      <c r="J334" s="31"/>
    </row>
    <row r="335" spans="1:10" ht="31.5">
      <c r="A335" s="47" t="s">
        <v>18</v>
      </c>
      <c r="B335" s="32" t="s">
        <v>297</v>
      </c>
      <c r="C335" s="32" t="s">
        <v>13</v>
      </c>
      <c r="D335" s="42">
        <f>'2016 год Приложение  5'!E222</f>
        <v>17</v>
      </c>
      <c r="E335" s="42">
        <f>'2016 год Приложение  5'!F222</f>
        <v>0</v>
      </c>
      <c r="F335" s="42">
        <f>'2016 год Приложение  5'!G222</f>
        <v>17</v>
      </c>
      <c r="G335" s="31"/>
      <c r="H335" s="31"/>
      <c r="I335" s="31"/>
      <c r="J335" s="31"/>
    </row>
    <row r="336" spans="1:10" ht="31.5">
      <c r="A336" s="47" t="s">
        <v>86</v>
      </c>
      <c r="B336" s="32" t="s">
        <v>298</v>
      </c>
      <c r="C336" s="32"/>
      <c r="D336" s="42">
        <f>D337</f>
        <v>33</v>
      </c>
      <c r="E336" s="42">
        <f>E337</f>
        <v>0</v>
      </c>
      <c r="F336" s="42">
        <f>F337</f>
        <v>33</v>
      </c>
      <c r="G336" s="31"/>
      <c r="H336" s="31"/>
      <c r="I336" s="31"/>
      <c r="J336" s="31"/>
    </row>
    <row r="337" spans="1:10" ht="78.75">
      <c r="A337" s="26" t="s">
        <v>20</v>
      </c>
      <c r="B337" s="32" t="s">
        <v>298</v>
      </c>
      <c r="C337" s="32" t="s">
        <v>21</v>
      </c>
      <c r="D337" s="42">
        <f>'2016 год Приложение  5'!E224</f>
        <v>33</v>
      </c>
      <c r="E337" s="42">
        <f>'2016 год Приложение  5'!F224</f>
        <v>0</v>
      </c>
      <c r="F337" s="42">
        <f>'2016 год Приложение  5'!G224</f>
        <v>33</v>
      </c>
      <c r="G337" s="31"/>
      <c r="H337" s="31"/>
      <c r="I337" s="31"/>
      <c r="J337" s="31"/>
    </row>
    <row r="338" spans="1:10" ht="47.25">
      <c r="A338" s="12" t="s">
        <v>132</v>
      </c>
      <c r="B338" s="13" t="s">
        <v>237</v>
      </c>
      <c r="C338" s="13" t="s">
        <v>0</v>
      </c>
      <c r="D338" s="14">
        <f>D339+D341+D343+D345+D347+D351+D353+D355+D349</f>
        <v>46190.6</v>
      </c>
      <c r="E338" s="14">
        <f>E339+E341+E343+E345+E347+E351+E353+E355+E349</f>
        <v>0</v>
      </c>
      <c r="F338" s="14">
        <f>F339+F341+F343+F345+F347+F351+F353+F355+F349</f>
        <v>46190.6</v>
      </c>
      <c r="G338" s="31"/>
      <c r="H338" s="155"/>
      <c r="I338" s="30"/>
      <c r="J338" s="31"/>
    </row>
    <row r="339" spans="1:10" ht="94.5">
      <c r="A339" s="16" t="s">
        <v>51</v>
      </c>
      <c r="B339" s="17" t="s">
        <v>299</v>
      </c>
      <c r="C339" s="17"/>
      <c r="D339" s="19">
        <f>D340</f>
        <v>2800.2</v>
      </c>
      <c r="E339" s="19">
        <f>E340</f>
        <v>0</v>
      </c>
      <c r="F339" s="19">
        <f>F340</f>
        <v>2800.2</v>
      </c>
      <c r="G339" s="31"/>
      <c r="H339" s="31"/>
      <c r="I339" s="31"/>
      <c r="J339" s="31"/>
    </row>
    <row r="340" spans="1:10" ht="15.75">
      <c r="A340" s="47" t="s">
        <v>38</v>
      </c>
      <c r="B340" s="17" t="s">
        <v>299</v>
      </c>
      <c r="C340" s="32" t="s">
        <v>22</v>
      </c>
      <c r="D340" s="42">
        <f>'2016 год Приложение  5'!E423</f>
        <v>2800.2</v>
      </c>
      <c r="E340" s="42">
        <f>'2016 год Приложение  5'!F423</f>
        <v>0</v>
      </c>
      <c r="F340" s="42">
        <f>'2016 год Приложение  5'!G423</f>
        <v>2800.2</v>
      </c>
      <c r="G340" s="31"/>
      <c r="H340" s="31"/>
      <c r="I340" s="31"/>
      <c r="J340" s="31"/>
    </row>
    <row r="341" spans="1:10" ht="78.75">
      <c r="A341" s="77" t="s">
        <v>107</v>
      </c>
      <c r="B341" s="48" t="s">
        <v>302</v>
      </c>
      <c r="C341" s="48"/>
      <c r="D341" s="42">
        <f>D342</f>
        <v>5873.8</v>
      </c>
      <c r="E341" s="42">
        <f>E342</f>
        <v>0</v>
      </c>
      <c r="F341" s="42">
        <f>F342</f>
        <v>5873.8</v>
      </c>
      <c r="H341" s="31"/>
      <c r="I341" s="31"/>
      <c r="J341" s="31"/>
    </row>
    <row r="342" spans="1:10" ht="47.25">
      <c r="A342" s="26" t="s">
        <v>40</v>
      </c>
      <c r="B342" s="48" t="s">
        <v>302</v>
      </c>
      <c r="C342" s="48" t="s">
        <v>35</v>
      </c>
      <c r="D342" s="42">
        <f>'2016 год Приложение  5'!E227</f>
        <v>5873.8</v>
      </c>
      <c r="E342" s="42">
        <f>'2016 год Приложение  5'!F227</f>
        <v>0</v>
      </c>
      <c r="F342" s="42">
        <f>'2016 год Приложение  5'!G227</f>
        <v>5873.8</v>
      </c>
      <c r="H342" s="31"/>
      <c r="I342" s="31"/>
      <c r="J342" s="31"/>
    </row>
    <row r="343" spans="1:10" ht="126">
      <c r="A343" s="85" t="s">
        <v>108</v>
      </c>
      <c r="B343" s="17" t="s">
        <v>304</v>
      </c>
      <c r="C343" s="17"/>
      <c r="D343" s="42">
        <f>D344</f>
        <v>24843.5</v>
      </c>
      <c r="E343" s="42">
        <f>E344</f>
        <v>0</v>
      </c>
      <c r="F343" s="42">
        <f>F344</f>
        <v>24843.5</v>
      </c>
      <c r="H343" s="31"/>
      <c r="I343" s="31"/>
      <c r="J343" s="31"/>
    </row>
    <row r="344" spans="1:10" ht="47.25">
      <c r="A344" s="26" t="s">
        <v>40</v>
      </c>
      <c r="B344" s="17" t="s">
        <v>304</v>
      </c>
      <c r="C344" s="48" t="s">
        <v>35</v>
      </c>
      <c r="D344" s="42">
        <f>'2016 год Приложение  5'!E229</f>
        <v>24843.5</v>
      </c>
      <c r="E344" s="42">
        <f>'2016 год Приложение  5'!F229</f>
        <v>0</v>
      </c>
      <c r="F344" s="42">
        <f>'2016 год Приложение  5'!G229</f>
        <v>24843.5</v>
      </c>
      <c r="H344" s="31"/>
      <c r="I344" s="31"/>
      <c r="J344" s="31"/>
    </row>
    <row r="345" spans="1:10" ht="110.25">
      <c r="A345" s="162" t="s">
        <v>239</v>
      </c>
      <c r="B345" s="48" t="s">
        <v>305</v>
      </c>
      <c r="C345" s="48"/>
      <c r="D345" s="42">
        <f>D346</f>
        <v>2131.8</v>
      </c>
      <c r="E345" s="42">
        <f>E346</f>
        <v>0</v>
      </c>
      <c r="F345" s="42">
        <f>F346</f>
        <v>2131.8</v>
      </c>
      <c r="H345" s="31"/>
      <c r="I345" s="31"/>
      <c r="J345" s="31"/>
    </row>
    <row r="346" spans="1:10" ht="47.25">
      <c r="A346" s="26" t="s">
        <v>40</v>
      </c>
      <c r="B346" s="48" t="s">
        <v>305</v>
      </c>
      <c r="C346" s="48" t="s">
        <v>35</v>
      </c>
      <c r="D346" s="42">
        <f>'2016 год Приложение  5'!E231</f>
        <v>2131.8</v>
      </c>
      <c r="E346" s="42">
        <f>'2016 год Приложение  5'!F231</f>
        <v>0</v>
      </c>
      <c r="F346" s="42">
        <f>'2016 год Приложение  5'!G231</f>
        <v>2131.8</v>
      </c>
      <c r="H346" s="31"/>
      <c r="I346" s="31"/>
      <c r="J346" s="31"/>
    </row>
    <row r="347" spans="1:10" ht="78.75">
      <c r="A347" s="26" t="s">
        <v>110</v>
      </c>
      <c r="B347" s="17" t="s">
        <v>303</v>
      </c>
      <c r="C347" s="48"/>
      <c r="D347" s="42">
        <f>D348</f>
        <v>2199.2000000000003</v>
      </c>
      <c r="E347" s="42">
        <f>E348</f>
        <v>0</v>
      </c>
      <c r="F347" s="42">
        <f>F348</f>
        <v>2199.2000000000003</v>
      </c>
      <c r="H347" s="31"/>
      <c r="I347" s="31"/>
      <c r="J347" s="31"/>
    </row>
    <row r="348" spans="1:10" ht="15.75">
      <c r="A348" s="46" t="s">
        <v>38</v>
      </c>
      <c r="B348" s="17" t="s">
        <v>303</v>
      </c>
      <c r="C348" s="48" t="s">
        <v>22</v>
      </c>
      <c r="D348" s="42">
        <f>'2016 год Приложение  5'!E233</f>
        <v>2199.2000000000003</v>
      </c>
      <c r="E348" s="42">
        <f>'2016 год Приложение  5'!F233</f>
        <v>0</v>
      </c>
      <c r="F348" s="42">
        <f>'2016 год Приложение  5'!G233</f>
        <v>2199.2000000000003</v>
      </c>
      <c r="H348" s="31"/>
      <c r="I348" s="31"/>
      <c r="J348" s="31"/>
    </row>
    <row r="349" spans="1:10" ht="141.75">
      <c r="A349" s="186" t="s">
        <v>403</v>
      </c>
      <c r="B349" s="17" t="s">
        <v>404</v>
      </c>
      <c r="C349" s="48"/>
      <c r="D349" s="42">
        <f>D350</f>
        <v>6300</v>
      </c>
      <c r="E349" s="42">
        <f>E350</f>
        <v>0</v>
      </c>
      <c r="F349" s="42">
        <f>D349+E349</f>
        <v>6300</v>
      </c>
      <c r="H349" s="31"/>
      <c r="I349" s="31"/>
      <c r="J349" s="31"/>
    </row>
    <row r="350" spans="1:10" ht="15.75">
      <c r="A350" s="46" t="s">
        <v>38</v>
      </c>
      <c r="B350" s="17" t="s">
        <v>404</v>
      </c>
      <c r="C350" s="48" t="s">
        <v>22</v>
      </c>
      <c r="D350" s="42">
        <f>'2016 год Приложение  5'!E235</f>
        <v>6300</v>
      </c>
      <c r="E350" s="42">
        <f>'2016 год Приложение  5'!F235</f>
        <v>0</v>
      </c>
      <c r="F350" s="42">
        <f>D350+E350</f>
        <v>6300</v>
      </c>
      <c r="H350" s="31"/>
      <c r="I350" s="31"/>
      <c r="J350" s="31"/>
    </row>
    <row r="351" spans="1:10" ht="47.25">
      <c r="A351" s="23" t="s">
        <v>391</v>
      </c>
      <c r="B351" s="17" t="s">
        <v>390</v>
      </c>
      <c r="C351" s="17"/>
      <c r="D351" s="42">
        <f>D352</f>
        <v>559.7</v>
      </c>
      <c r="E351" s="42">
        <f>E352</f>
        <v>0</v>
      </c>
      <c r="F351" s="42">
        <f>F352</f>
        <v>559.7</v>
      </c>
      <c r="H351" s="31"/>
      <c r="I351" s="31"/>
      <c r="J351" s="31"/>
    </row>
    <row r="352" spans="1:10" ht="15.75">
      <c r="A352" s="46" t="s">
        <v>38</v>
      </c>
      <c r="B352" s="17" t="s">
        <v>390</v>
      </c>
      <c r="C352" s="48" t="s">
        <v>22</v>
      </c>
      <c r="D352" s="42">
        <f>'2016 год Приложение  5'!E237</f>
        <v>559.7</v>
      </c>
      <c r="E352" s="42">
        <f>'2016 год Приложение  5'!F237</f>
        <v>0</v>
      </c>
      <c r="F352" s="42">
        <f>'2016 год Приложение  5'!G237</f>
        <v>559.7</v>
      </c>
      <c r="H352" s="31"/>
      <c r="I352" s="31"/>
      <c r="J352" s="31"/>
    </row>
    <row r="353" spans="1:10" ht="31.5">
      <c r="A353" s="23" t="s">
        <v>52</v>
      </c>
      <c r="B353" s="17" t="s">
        <v>418</v>
      </c>
      <c r="C353" s="17"/>
      <c r="D353" s="42">
        <f>D354</f>
        <v>700</v>
      </c>
      <c r="E353" s="42">
        <f>E354</f>
        <v>0</v>
      </c>
      <c r="F353" s="42">
        <f>F354</f>
        <v>700</v>
      </c>
      <c r="H353" s="31"/>
      <c r="I353" s="31"/>
      <c r="J353" s="31"/>
    </row>
    <row r="354" spans="1:10" ht="15.75">
      <c r="A354" s="46" t="s">
        <v>38</v>
      </c>
      <c r="B354" s="17" t="s">
        <v>418</v>
      </c>
      <c r="C354" s="48" t="s">
        <v>22</v>
      </c>
      <c r="D354" s="42">
        <f>'2016 год Приложение  5'!E239</f>
        <v>700</v>
      </c>
      <c r="E354" s="42">
        <f>'2016 год Приложение  5'!F239</f>
        <v>0</v>
      </c>
      <c r="F354" s="42">
        <f>'2016 год Приложение  5'!G239</f>
        <v>700</v>
      </c>
      <c r="H354" s="31"/>
      <c r="I354" s="31"/>
      <c r="J354" s="31"/>
    </row>
    <row r="355" spans="1:10" ht="47.25">
      <c r="A355" s="23" t="s">
        <v>392</v>
      </c>
      <c r="B355" s="17" t="s">
        <v>393</v>
      </c>
      <c r="C355" s="17"/>
      <c r="D355" s="42">
        <f>D356</f>
        <v>782.4</v>
      </c>
      <c r="E355" s="42">
        <f>E356</f>
        <v>0</v>
      </c>
      <c r="F355" s="42">
        <f>F356</f>
        <v>782.4</v>
      </c>
      <c r="H355" s="31"/>
      <c r="I355" s="31"/>
      <c r="J355" s="31"/>
    </row>
    <row r="356" spans="1:10" ht="15.75">
      <c r="A356" s="46" t="s">
        <v>38</v>
      </c>
      <c r="B356" s="17" t="s">
        <v>394</v>
      </c>
      <c r="C356" s="48" t="s">
        <v>22</v>
      </c>
      <c r="D356" s="42">
        <f>'2016 год Приложение  5'!E241</f>
        <v>782.4</v>
      </c>
      <c r="E356" s="42">
        <f>'2016 год Приложение  5'!F241</f>
        <v>0</v>
      </c>
      <c r="F356" s="42">
        <f>'2016 год Приложение  5'!G241</f>
        <v>782.4</v>
      </c>
      <c r="H356" s="31"/>
      <c r="I356" s="31"/>
      <c r="J356" s="31"/>
    </row>
    <row r="357" spans="1:10" ht="31.5">
      <c r="A357" s="12" t="s">
        <v>133</v>
      </c>
      <c r="B357" s="13" t="s">
        <v>300</v>
      </c>
      <c r="C357" s="13" t="s">
        <v>0</v>
      </c>
      <c r="D357" s="14">
        <f>D358+D362+D360</f>
        <v>180</v>
      </c>
      <c r="E357" s="14">
        <f>E358+E362+E360</f>
        <v>0</v>
      </c>
      <c r="F357" s="14">
        <f>F358+F362+F360</f>
        <v>180</v>
      </c>
      <c r="H357" s="155"/>
      <c r="I357" s="30"/>
      <c r="J357" s="31"/>
    </row>
    <row r="358" spans="1:10" ht="47.25">
      <c r="A358" s="16" t="s">
        <v>53</v>
      </c>
      <c r="B358" s="17" t="s">
        <v>301</v>
      </c>
      <c r="C358" s="17"/>
      <c r="D358" s="19">
        <f>D359</f>
        <v>80</v>
      </c>
      <c r="E358" s="19">
        <f>E359</f>
        <v>0</v>
      </c>
      <c r="F358" s="19">
        <f>D358+E358</f>
        <v>80</v>
      </c>
      <c r="H358" s="31"/>
      <c r="I358" s="31"/>
      <c r="J358" s="31"/>
    </row>
    <row r="359" spans="1:10" ht="31.5">
      <c r="A359" s="94" t="s">
        <v>15</v>
      </c>
      <c r="B359" s="17" t="s">
        <v>301</v>
      </c>
      <c r="C359" s="32" t="s">
        <v>16</v>
      </c>
      <c r="D359" s="42">
        <f>'2016 год Приложение  5'!E244</f>
        <v>80</v>
      </c>
      <c r="E359" s="42">
        <f>'2016 год Приложение  5'!F244</f>
        <v>0</v>
      </c>
      <c r="F359" s="42">
        <f>'2016 год Приложение  5'!G244</f>
        <v>80</v>
      </c>
      <c r="H359" s="31"/>
      <c r="I359" s="31"/>
      <c r="J359" s="31"/>
    </row>
    <row r="360" spans="1:10" ht="31.5">
      <c r="A360" s="16" t="s">
        <v>423</v>
      </c>
      <c r="B360" s="17" t="s">
        <v>429</v>
      </c>
      <c r="C360" s="48"/>
      <c r="D360" s="19">
        <f>D361</f>
        <v>80</v>
      </c>
      <c r="E360" s="19">
        <f>E361</f>
        <v>0</v>
      </c>
      <c r="F360" s="19">
        <f>F361</f>
        <v>80</v>
      </c>
      <c r="H360" s="31"/>
      <c r="I360" s="31"/>
      <c r="J360" s="31"/>
    </row>
    <row r="361" spans="1:10" ht="31.5">
      <c r="A361" s="88" t="s">
        <v>15</v>
      </c>
      <c r="B361" s="17" t="s">
        <v>429</v>
      </c>
      <c r="C361" s="48" t="s">
        <v>16</v>
      </c>
      <c r="D361" s="42">
        <f>'2016 год Приложение  5'!E246</f>
        <v>80</v>
      </c>
      <c r="E361" s="42">
        <f>'2016 год Приложение  5'!F246</f>
        <v>0</v>
      </c>
      <c r="F361" s="42">
        <f>'2016 год Приложение  5'!G246</f>
        <v>80</v>
      </c>
      <c r="H361" s="31"/>
      <c r="I361" s="31"/>
      <c r="J361" s="31"/>
    </row>
    <row r="362" spans="1:10" ht="31.5">
      <c r="A362" s="16" t="s">
        <v>423</v>
      </c>
      <c r="B362" s="17" t="s">
        <v>428</v>
      </c>
      <c r="C362" s="48"/>
      <c r="D362" s="19">
        <f>D363</f>
        <v>20</v>
      </c>
      <c r="E362" s="19">
        <f>E363</f>
        <v>0</v>
      </c>
      <c r="F362" s="19">
        <f>F363</f>
        <v>20</v>
      </c>
      <c r="H362" s="31"/>
      <c r="I362" s="31"/>
      <c r="J362" s="31"/>
    </row>
    <row r="363" spans="1:10" ht="31.5">
      <c r="A363" s="88" t="s">
        <v>15</v>
      </c>
      <c r="B363" s="189" t="s">
        <v>428</v>
      </c>
      <c r="C363" s="190" t="s">
        <v>16</v>
      </c>
      <c r="D363" s="42">
        <f>'2016 год Приложение  5'!E248</f>
        <v>20</v>
      </c>
      <c r="E363" s="42">
        <f>'2016 год Приложение  5'!F248</f>
        <v>0</v>
      </c>
      <c r="F363" s="42">
        <f>'2016 год Приложение  5'!G248</f>
        <v>20</v>
      </c>
      <c r="H363" s="31"/>
      <c r="I363" s="31"/>
      <c r="J363" s="31"/>
    </row>
    <row r="364" spans="1:13" ht="15.75">
      <c r="A364" s="37" t="s">
        <v>43</v>
      </c>
      <c r="B364" s="38" t="s">
        <v>188</v>
      </c>
      <c r="C364" s="38" t="s">
        <v>0</v>
      </c>
      <c r="D364" s="39">
        <f>D375+D365+D395+D367+D371+D377+D399+D403+D405+D410+D412+D414+D416+D418+D420+D397+D401+D422+D424+D381+D383+D385+D387+D389+D379+D393+D391</f>
        <v>64803.80000000001</v>
      </c>
      <c r="E364" s="39">
        <f>E375+E365+E395+E367+E371+E377+E399+E403+E405+E410+E412+E414+E416+E418+E420+E397+E401+E422+E424+E381+E383+E385+E387+E389+E379+E393+E391</f>
        <v>359.4</v>
      </c>
      <c r="F364" s="39">
        <f>F375+F365+F395+F367+F371+F377+F399+F403+F405+F410+F412+F414+F416+F418+F420+F397+F401+F422+F424+F381+F383+F385+F387+F389+F379+F393+F391</f>
        <v>65163.20000000001</v>
      </c>
      <c r="H364" s="31"/>
      <c r="I364" s="30"/>
      <c r="J364" s="31"/>
      <c r="L364" s="195">
        <f>'2016 год Приложение  5'!G431+'2016 год Приложение  5'!G317+'2016 год Приложение  5'!G249+'2016 год Приложение  5'!G14</f>
        <v>65163.20000000001</v>
      </c>
      <c r="M364" s="195">
        <f>F364-L364</f>
        <v>0</v>
      </c>
    </row>
    <row r="365" spans="1:10" ht="31.5">
      <c r="A365" s="27" t="s">
        <v>76</v>
      </c>
      <c r="B365" s="48" t="s">
        <v>200</v>
      </c>
      <c r="C365" s="25"/>
      <c r="D365" s="49">
        <f>D366</f>
        <v>1407.4</v>
      </c>
      <c r="E365" s="49">
        <f>E366</f>
        <v>0</v>
      </c>
      <c r="F365" s="49">
        <f>F366</f>
        <v>1407.4</v>
      </c>
      <c r="H365" s="31"/>
      <c r="I365" s="31"/>
      <c r="J365" s="31"/>
    </row>
    <row r="366" spans="1:10" ht="78.75">
      <c r="A366" s="50" t="s">
        <v>20</v>
      </c>
      <c r="B366" s="48" t="s">
        <v>200</v>
      </c>
      <c r="C366" s="25" t="s">
        <v>21</v>
      </c>
      <c r="D366" s="49">
        <f>'2016 год Приложение  5'!E16</f>
        <v>1407.4</v>
      </c>
      <c r="E366" s="49">
        <f>'2016 год Приложение  5'!F16</f>
        <v>0</v>
      </c>
      <c r="F366" s="49">
        <f>'2016 год Приложение  5'!G16</f>
        <v>1407.4</v>
      </c>
      <c r="H366" s="31"/>
      <c r="I366" s="31"/>
      <c r="J366" s="31"/>
    </row>
    <row r="367" spans="1:10" ht="47.25">
      <c r="A367" s="50" t="s">
        <v>44</v>
      </c>
      <c r="B367" s="48" t="s">
        <v>201</v>
      </c>
      <c r="C367" s="48" t="s">
        <v>0</v>
      </c>
      <c r="D367" s="49">
        <f>D369+D370+D368</f>
        <v>600</v>
      </c>
      <c r="E367" s="49">
        <f>E369+E370+E368</f>
        <v>0</v>
      </c>
      <c r="F367" s="49">
        <f>F369+F370+F368</f>
        <v>600</v>
      </c>
      <c r="H367" s="31"/>
      <c r="I367" s="31"/>
      <c r="J367" s="31"/>
    </row>
    <row r="368" spans="1:10" ht="78.75">
      <c r="A368" s="50" t="s">
        <v>20</v>
      </c>
      <c r="B368" s="48" t="s">
        <v>201</v>
      </c>
      <c r="C368" s="48" t="s">
        <v>21</v>
      </c>
      <c r="D368" s="49">
        <f>'2016 год Приложение  5'!E18</f>
        <v>88</v>
      </c>
      <c r="E368" s="49">
        <f>'2016 год Приложение  5'!F18</f>
        <v>0</v>
      </c>
      <c r="F368" s="49">
        <f>D368+E368</f>
        <v>88</v>
      </c>
      <c r="H368" s="31"/>
      <c r="I368" s="31"/>
      <c r="J368" s="31"/>
    </row>
    <row r="369" spans="1:10" ht="31.5">
      <c r="A369" s="51" t="s">
        <v>18</v>
      </c>
      <c r="B369" s="48" t="s">
        <v>201</v>
      </c>
      <c r="C369" s="48" t="s">
        <v>13</v>
      </c>
      <c r="D369" s="49">
        <f>'2016 год Приложение  5'!E19</f>
        <v>508.8</v>
      </c>
      <c r="E369" s="49">
        <f>'2016 год Приложение  5'!F19</f>
        <v>0</v>
      </c>
      <c r="F369" s="49">
        <f>'2016 год Приложение  5'!G19</f>
        <v>508.8</v>
      </c>
      <c r="H369" s="31"/>
      <c r="I369" s="31"/>
      <c r="J369" s="31"/>
    </row>
    <row r="370" spans="1:10" ht="15.75">
      <c r="A370" s="51" t="s">
        <v>14</v>
      </c>
      <c r="B370" s="48" t="s">
        <v>201</v>
      </c>
      <c r="C370" s="48" t="s">
        <v>17</v>
      </c>
      <c r="D370" s="49">
        <f>'2016 год Приложение  5'!E20</f>
        <v>3.2</v>
      </c>
      <c r="E370" s="49">
        <f>'2016 год Приложение  5'!F20</f>
        <v>0</v>
      </c>
      <c r="F370" s="49">
        <f>D370+E370</f>
        <v>3.2</v>
      </c>
      <c r="H370" s="31"/>
      <c r="I370" s="31"/>
      <c r="J370" s="31"/>
    </row>
    <row r="371" spans="1:10" ht="31.5">
      <c r="A371" s="50" t="s">
        <v>45</v>
      </c>
      <c r="B371" s="48" t="s">
        <v>199</v>
      </c>
      <c r="C371" s="48" t="s">
        <v>0</v>
      </c>
      <c r="D371" s="49">
        <f>D372+D373+D374</f>
        <v>2092.6</v>
      </c>
      <c r="E371" s="49">
        <f>E372+E373+E374</f>
        <v>0</v>
      </c>
      <c r="F371" s="49">
        <f>F372+F373+F374</f>
        <v>2092.6</v>
      </c>
      <c r="H371" s="31"/>
      <c r="I371" s="31"/>
      <c r="J371" s="31"/>
    </row>
    <row r="372" spans="1:10" ht="78.75">
      <c r="A372" s="50" t="s">
        <v>20</v>
      </c>
      <c r="B372" s="48" t="s">
        <v>199</v>
      </c>
      <c r="C372" s="48" t="s">
        <v>21</v>
      </c>
      <c r="D372" s="49">
        <f>'2016 год Приложение  5'!E22</f>
        <v>1813.9999999999998</v>
      </c>
      <c r="E372" s="49">
        <f>'2016 год Приложение  5'!F22</f>
        <v>0</v>
      </c>
      <c r="F372" s="49">
        <f>'2016 год Приложение  5'!G22</f>
        <v>1813.9999999999998</v>
      </c>
      <c r="H372" s="31"/>
      <c r="I372" s="31"/>
      <c r="J372" s="31"/>
    </row>
    <row r="373" spans="1:10" ht="31.5">
      <c r="A373" s="51" t="s">
        <v>18</v>
      </c>
      <c r="B373" s="48" t="s">
        <v>199</v>
      </c>
      <c r="C373" s="25" t="s">
        <v>13</v>
      </c>
      <c r="D373" s="49">
        <f>'2016 год Приложение  5'!E23</f>
        <v>276.8</v>
      </c>
      <c r="E373" s="49">
        <f>'2016 год Приложение  5'!F23</f>
        <v>0</v>
      </c>
      <c r="F373" s="49">
        <f>'2016 год Приложение  5'!G23</f>
        <v>276.8</v>
      </c>
      <c r="H373" s="31"/>
      <c r="I373" s="31"/>
      <c r="J373" s="31"/>
    </row>
    <row r="374" spans="1:10" ht="15.75">
      <c r="A374" s="51" t="s">
        <v>14</v>
      </c>
      <c r="B374" s="48" t="s">
        <v>199</v>
      </c>
      <c r="C374" s="25" t="s">
        <v>17</v>
      </c>
      <c r="D374" s="49">
        <f>'2016 год Приложение  5'!E24</f>
        <v>1.8</v>
      </c>
      <c r="E374" s="49">
        <f>'2016 год Приложение  5'!F24</f>
        <v>0</v>
      </c>
      <c r="F374" s="49">
        <f>'2016 год Приложение  5'!G24</f>
        <v>1.8</v>
      </c>
      <c r="H374" s="31"/>
      <c r="I374" s="31"/>
      <c r="J374" s="31"/>
    </row>
    <row r="375" spans="1:10" ht="15.75">
      <c r="A375" s="77" t="s">
        <v>419</v>
      </c>
      <c r="B375" s="32" t="s">
        <v>420</v>
      </c>
      <c r="C375" s="32"/>
      <c r="D375" s="49">
        <f>D376</f>
        <v>63.4</v>
      </c>
      <c r="E375" s="49">
        <f>E376</f>
        <v>0</v>
      </c>
      <c r="F375" s="49">
        <f>F376</f>
        <v>63.4</v>
      </c>
      <c r="H375" s="31"/>
      <c r="I375" s="31"/>
      <c r="J375" s="31"/>
    </row>
    <row r="376" spans="1:10" ht="31.5">
      <c r="A376" s="166" t="s">
        <v>18</v>
      </c>
      <c r="B376" s="32" t="s">
        <v>420</v>
      </c>
      <c r="C376" s="32" t="s">
        <v>13</v>
      </c>
      <c r="D376" s="49">
        <f>'2016 год Приложение  5'!E251</f>
        <v>63.4</v>
      </c>
      <c r="E376" s="49">
        <f>'2016 год Приложение  5'!F251</f>
        <v>0</v>
      </c>
      <c r="F376" s="49">
        <f>'2016 год Приложение  5'!G251</f>
        <v>63.4</v>
      </c>
      <c r="H376" s="31"/>
      <c r="I376" s="31"/>
      <c r="J376" s="31"/>
    </row>
    <row r="377" spans="1:10" ht="31.5">
      <c r="A377" s="26" t="s">
        <v>101</v>
      </c>
      <c r="B377" s="48" t="s">
        <v>196</v>
      </c>
      <c r="C377" s="76"/>
      <c r="D377" s="49">
        <f>D378</f>
        <v>28921.5</v>
      </c>
      <c r="E377" s="49">
        <f>E378</f>
        <v>380</v>
      </c>
      <c r="F377" s="42">
        <f>F378</f>
        <v>29301.5</v>
      </c>
      <c r="H377" s="31"/>
      <c r="I377" s="31"/>
      <c r="J377" s="31"/>
    </row>
    <row r="378" spans="1:10" ht="15.75">
      <c r="A378" s="53" t="s">
        <v>14</v>
      </c>
      <c r="B378" s="48" t="s">
        <v>196</v>
      </c>
      <c r="C378" s="48" t="s">
        <v>17</v>
      </c>
      <c r="D378" s="49">
        <f>'2016 год Приложение  5'!E253</f>
        <v>28921.5</v>
      </c>
      <c r="E378" s="49">
        <f>'2016 год Приложение  5'!F253</f>
        <v>380</v>
      </c>
      <c r="F378" s="49">
        <f>'2016 год Приложение  5'!G253</f>
        <v>29301.5</v>
      </c>
      <c r="H378" s="31"/>
      <c r="I378" s="31"/>
      <c r="J378" s="31"/>
    </row>
    <row r="379" spans="1:10" ht="78.75">
      <c r="A379" s="26" t="s">
        <v>367</v>
      </c>
      <c r="B379" s="48" t="s">
        <v>368</v>
      </c>
      <c r="C379" s="25"/>
      <c r="D379" s="159">
        <f>D380</f>
        <v>12</v>
      </c>
      <c r="E379" s="159">
        <f>E380</f>
        <v>0</v>
      </c>
      <c r="F379" s="159">
        <f>F380</f>
        <v>12</v>
      </c>
      <c r="H379" s="31"/>
      <c r="I379" s="31"/>
      <c r="J379" s="31"/>
    </row>
    <row r="380" spans="1:10" ht="31.5">
      <c r="A380" s="51" t="s">
        <v>18</v>
      </c>
      <c r="B380" s="48" t="s">
        <v>368</v>
      </c>
      <c r="C380" s="25" t="s">
        <v>13</v>
      </c>
      <c r="D380" s="159">
        <f>'2016 год Приложение  5'!E433</f>
        <v>12</v>
      </c>
      <c r="E380" s="159">
        <f>'2016 год Приложение  5'!F433</f>
        <v>0</v>
      </c>
      <c r="F380" s="159">
        <f>D380+E380</f>
        <v>12</v>
      </c>
      <c r="H380" s="31"/>
      <c r="I380" s="31"/>
      <c r="J380" s="31"/>
    </row>
    <row r="381" spans="1:10" ht="78.75">
      <c r="A381" s="53" t="s">
        <v>359</v>
      </c>
      <c r="B381" s="48" t="s">
        <v>354</v>
      </c>
      <c r="C381" s="76"/>
      <c r="D381" s="159">
        <f>D382</f>
        <v>8.7</v>
      </c>
      <c r="E381" s="159">
        <f>E382</f>
        <v>0</v>
      </c>
      <c r="F381" s="159">
        <f>F382</f>
        <v>8.7</v>
      </c>
      <c r="H381" s="31"/>
      <c r="I381" s="31"/>
      <c r="J381" s="31"/>
    </row>
    <row r="382" spans="1:10" ht="31.5">
      <c r="A382" s="166" t="s">
        <v>18</v>
      </c>
      <c r="B382" s="48" t="s">
        <v>354</v>
      </c>
      <c r="C382" s="48" t="s">
        <v>13</v>
      </c>
      <c r="D382" s="159">
        <f>'2016 год Приложение  5'!E255</f>
        <v>8.7</v>
      </c>
      <c r="E382" s="159">
        <f>'2016 год Приложение  5'!F255</f>
        <v>0</v>
      </c>
      <c r="F382" s="159">
        <f>D382+E382</f>
        <v>8.7</v>
      </c>
      <c r="H382" s="31"/>
      <c r="I382" s="31"/>
      <c r="J382" s="31"/>
    </row>
    <row r="383" spans="1:10" ht="78.75">
      <c r="A383" s="53" t="s">
        <v>360</v>
      </c>
      <c r="B383" s="48" t="s">
        <v>355</v>
      </c>
      <c r="C383" s="76"/>
      <c r="D383" s="159">
        <f>D384</f>
        <v>7.9</v>
      </c>
      <c r="E383" s="159">
        <f>E384</f>
        <v>0</v>
      </c>
      <c r="F383" s="159">
        <f>F384</f>
        <v>7.9</v>
      </c>
      <c r="H383" s="31"/>
      <c r="I383" s="31"/>
      <c r="J383" s="31"/>
    </row>
    <row r="384" spans="1:10" ht="31.5">
      <c r="A384" s="166" t="s">
        <v>18</v>
      </c>
      <c r="B384" s="48" t="s">
        <v>355</v>
      </c>
      <c r="C384" s="48" t="s">
        <v>13</v>
      </c>
      <c r="D384" s="159">
        <f>'2016 год Приложение  5'!E257</f>
        <v>7.9</v>
      </c>
      <c r="E384" s="159">
        <f>'2016 год Приложение  5'!F257</f>
        <v>0</v>
      </c>
      <c r="F384" s="159">
        <f>D384+E384</f>
        <v>7.9</v>
      </c>
      <c r="H384" s="31"/>
      <c r="I384" s="31"/>
      <c r="J384" s="31"/>
    </row>
    <row r="385" spans="1:10" ht="94.5">
      <c r="A385" s="53" t="s">
        <v>361</v>
      </c>
      <c r="B385" s="48" t="s">
        <v>356</v>
      </c>
      <c r="C385" s="76"/>
      <c r="D385" s="159">
        <f>D386</f>
        <v>7.3</v>
      </c>
      <c r="E385" s="159">
        <f>E386</f>
        <v>0</v>
      </c>
      <c r="F385" s="159">
        <f>F386</f>
        <v>7.3</v>
      </c>
      <c r="H385" s="31"/>
      <c r="I385" s="31"/>
      <c r="J385" s="31"/>
    </row>
    <row r="386" spans="1:10" ht="31.5">
      <c r="A386" s="166" t="s">
        <v>18</v>
      </c>
      <c r="B386" s="48" t="s">
        <v>356</v>
      </c>
      <c r="C386" s="48" t="s">
        <v>13</v>
      </c>
      <c r="D386" s="159">
        <f>'2016 год Приложение  5'!E259</f>
        <v>7.3</v>
      </c>
      <c r="E386" s="159">
        <f>'2016 год Приложение  5'!F259</f>
        <v>0</v>
      </c>
      <c r="F386" s="159">
        <f>D386+E386</f>
        <v>7.3</v>
      </c>
      <c r="H386" s="31"/>
      <c r="I386" s="31"/>
      <c r="J386" s="31"/>
    </row>
    <row r="387" spans="1:10" ht="378">
      <c r="A387" s="166" t="s">
        <v>399</v>
      </c>
      <c r="B387" s="48" t="s">
        <v>357</v>
      </c>
      <c r="C387" s="76"/>
      <c r="D387" s="159">
        <f>D388</f>
        <v>5.9</v>
      </c>
      <c r="E387" s="159">
        <f>E388</f>
        <v>0</v>
      </c>
      <c r="F387" s="159">
        <f>F388</f>
        <v>5.9</v>
      </c>
      <c r="H387" s="31"/>
      <c r="I387" s="31"/>
      <c r="J387" s="31"/>
    </row>
    <row r="388" spans="1:10" ht="31.5">
      <c r="A388" s="166" t="s">
        <v>18</v>
      </c>
      <c r="B388" s="48" t="s">
        <v>357</v>
      </c>
      <c r="C388" s="48" t="s">
        <v>13</v>
      </c>
      <c r="D388" s="159">
        <f>'2016 год Приложение  5'!E261</f>
        <v>5.9</v>
      </c>
      <c r="E388" s="159">
        <f>'2016 год Приложение  5'!F261</f>
        <v>0</v>
      </c>
      <c r="F388" s="159">
        <f>D388+E388</f>
        <v>5.9</v>
      </c>
      <c r="H388" s="31"/>
      <c r="I388" s="31"/>
      <c r="J388" s="31"/>
    </row>
    <row r="389" spans="1:10" ht="94.5">
      <c r="A389" s="166" t="s">
        <v>362</v>
      </c>
      <c r="B389" s="48" t="s">
        <v>358</v>
      </c>
      <c r="C389" s="76"/>
      <c r="D389" s="159">
        <f>D390</f>
        <v>5.9</v>
      </c>
      <c r="E389" s="159">
        <f>E390</f>
        <v>0</v>
      </c>
      <c r="F389" s="159">
        <f>F390</f>
        <v>5.9</v>
      </c>
      <c r="H389" s="31"/>
      <c r="I389" s="31"/>
      <c r="J389" s="31"/>
    </row>
    <row r="390" spans="1:10" ht="31.5">
      <c r="A390" s="166" t="s">
        <v>18</v>
      </c>
      <c r="B390" s="48" t="s">
        <v>358</v>
      </c>
      <c r="C390" s="48" t="s">
        <v>13</v>
      </c>
      <c r="D390" s="159">
        <f>'2016 год Приложение  5'!E263</f>
        <v>5.9</v>
      </c>
      <c r="E390" s="159">
        <f>'2016 год Приложение  5'!F263</f>
        <v>0</v>
      </c>
      <c r="F390" s="159">
        <f>D390+E390</f>
        <v>5.9</v>
      </c>
      <c r="H390" s="31"/>
      <c r="I390" s="31"/>
      <c r="J390" s="31"/>
    </row>
    <row r="391" spans="1:10" ht="94.5">
      <c r="A391" s="166" t="s">
        <v>433</v>
      </c>
      <c r="B391" s="48" t="s">
        <v>432</v>
      </c>
      <c r="C391" s="48"/>
      <c r="D391" s="159">
        <f>D392</f>
        <v>5.9</v>
      </c>
      <c r="E391" s="159">
        <f>E392</f>
        <v>0</v>
      </c>
      <c r="F391" s="159">
        <f>F392</f>
        <v>5.9</v>
      </c>
      <c r="H391" s="31"/>
      <c r="I391" s="31"/>
      <c r="J391" s="31"/>
    </row>
    <row r="392" spans="1:10" ht="31.5">
      <c r="A392" s="166" t="s">
        <v>18</v>
      </c>
      <c r="B392" s="48" t="s">
        <v>432</v>
      </c>
      <c r="C392" s="48" t="s">
        <v>13</v>
      </c>
      <c r="D392" s="159">
        <f>'2016 год Приложение  5'!E265</f>
        <v>5.9</v>
      </c>
      <c r="E392" s="159">
        <f>'2016 год Приложение  5'!F265</f>
        <v>0</v>
      </c>
      <c r="F392" s="159">
        <f>D392+E392</f>
        <v>5.9</v>
      </c>
      <c r="H392" s="31"/>
      <c r="I392" s="31"/>
      <c r="J392" s="31"/>
    </row>
    <row r="393" spans="1:10" ht="31.5">
      <c r="A393" s="51" t="s">
        <v>369</v>
      </c>
      <c r="B393" s="48" t="s">
        <v>375</v>
      </c>
      <c r="C393" s="169"/>
      <c r="D393" s="49">
        <f>D394</f>
        <v>198.4</v>
      </c>
      <c r="E393" s="49">
        <f>E394</f>
        <v>0</v>
      </c>
      <c r="F393" s="49">
        <f>F394</f>
        <v>198.4</v>
      </c>
      <c r="H393" s="31"/>
      <c r="I393" s="31"/>
      <c r="J393" s="31"/>
    </row>
    <row r="394" spans="1:10" ht="31.5">
      <c r="A394" s="51" t="s">
        <v>18</v>
      </c>
      <c r="B394" s="48" t="s">
        <v>375</v>
      </c>
      <c r="C394" s="169" t="s">
        <v>13</v>
      </c>
      <c r="D394" s="49">
        <f>'2016 год Приложение  5'!E267</f>
        <v>198.4</v>
      </c>
      <c r="E394" s="49">
        <f>'2016 год Приложение  5'!F267</f>
        <v>0</v>
      </c>
      <c r="F394" s="49">
        <f>D394+E394</f>
        <v>198.4</v>
      </c>
      <c r="H394" s="31"/>
      <c r="I394" s="31"/>
      <c r="J394" s="31"/>
    </row>
    <row r="395" spans="1:10" ht="47.25">
      <c r="A395" s="62" t="s">
        <v>422</v>
      </c>
      <c r="B395" s="48" t="s">
        <v>421</v>
      </c>
      <c r="C395" s="48"/>
      <c r="D395" s="159">
        <f>D396</f>
        <v>166.8</v>
      </c>
      <c r="E395" s="159">
        <f>E396</f>
        <v>45</v>
      </c>
      <c r="F395" s="159">
        <f>F396</f>
        <v>211.8</v>
      </c>
      <c r="H395" s="31"/>
      <c r="I395" s="31"/>
      <c r="J395" s="31"/>
    </row>
    <row r="396" spans="1:10" ht="31.5">
      <c r="A396" s="170" t="s">
        <v>18</v>
      </c>
      <c r="B396" s="48" t="s">
        <v>421</v>
      </c>
      <c r="C396" s="48" t="s">
        <v>13</v>
      </c>
      <c r="D396" s="159">
        <f>'2016 год Приложение  5'!E269</f>
        <v>166.8</v>
      </c>
      <c r="E396" s="159">
        <f>'2016 год Приложение  5'!F269</f>
        <v>45</v>
      </c>
      <c r="F396" s="159">
        <f>'2016 год Приложение  5'!G269</f>
        <v>211.8</v>
      </c>
      <c r="H396" s="31"/>
      <c r="I396" s="31"/>
      <c r="J396" s="31"/>
    </row>
    <row r="397" spans="1:10" ht="47.25">
      <c r="A397" s="96" t="s">
        <v>69</v>
      </c>
      <c r="B397" s="48" t="s">
        <v>197</v>
      </c>
      <c r="C397" s="25"/>
      <c r="D397" s="159">
        <f>D398</f>
        <v>336.9</v>
      </c>
      <c r="E397" s="159">
        <f>E398</f>
        <v>0</v>
      </c>
      <c r="F397" s="159">
        <f>F398</f>
        <v>336.9</v>
      </c>
      <c r="H397" s="31"/>
      <c r="I397" s="31"/>
      <c r="J397" s="31"/>
    </row>
    <row r="398" spans="1:10" ht="31.5">
      <c r="A398" s="46" t="s">
        <v>18</v>
      </c>
      <c r="B398" s="48" t="s">
        <v>197</v>
      </c>
      <c r="C398" s="48" t="s">
        <v>13</v>
      </c>
      <c r="D398" s="159">
        <f>'2016 год Приложение  5'!E271</f>
        <v>336.9</v>
      </c>
      <c r="E398" s="159">
        <f>'2016 год Приложение  5'!F271</f>
        <v>0</v>
      </c>
      <c r="F398" s="159">
        <f>'2016 год Приложение  5'!G271</f>
        <v>336.9</v>
      </c>
      <c r="H398" s="31"/>
      <c r="I398" s="31"/>
      <c r="J398" s="31"/>
    </row>
    <row r="399" spans="1:10" ht="47.25">
      <c r="A399" s="26" t="s">
        <v>66</v>
      </c>
      <c r="B399" s="48" t="s">
        <v>186</v>
      </c>
      <c r="C399" s="160"/>
      <c r="D399" s="159">
        <f>D400</f>
        <v>1154.4</v>
      </c>
      <c r="E399" s="159">
        <f>E400</f>
        <v>0</v>
      </c>
      <c r="F399" s="159">
        <f>F400</f>
        <v>1154.4</v>
      </c>
      <c r="H399" s="31"/>
      <c r="I399" s="31"/>
      <c r="J399" s="31"/>
    </row>
    <row r="400" spans="1:10" ht="15.75">
      <c r="A400" s="52" t="s">
        <v>61</v>
      </c>
      <c r="B400" s="48" t="s">
        <v>186</v>
      </c>
      <c r="C400" s="48" t="s">
        <v>62</v>
      </c>
      <c r="D400" s="49">
        <f>'2016 год Приложение  5'!E435</f>
        <v>1154.4</v>
      </c>
      <c r="E400" s="49">
        <f>'2016 год Приложение  5'!F435</f>
        <v>0</v>
      </c>
      <c r="F400" s="49">
        <f>'2016 год Приложение  5'!G435</f>
        <v>1154.4</v>
      </c>
      <c r="H400" s="31"/>
      <c r="I400" s="31"/>
      <c r="J400" s="31"/>
    </row>
    <row r="401" spans="1:10" ht="31.5">
      <c r="A401" s="96" t="s">
        <v>240</v>
      </c>
      <c r="B401" s="48" t="s">
        <v>238</v>
      </c>
      <c r="C401" s="25"/>
      <c r="D401" s="54">
        <f>D402</f>
        <v>437.2</v>
      </c>
      <c r="E401" s="54">
        <f>E402</f>
        <v>-65.6</v>
      </c>
      <c r="F401" s="54">
        <f>F402</f>
        <v>371.6</v>
      </c>
      <c r="H401" s="31"/>
      <c r="I401" s="31"/>
      <c r="J401" s="31"/>
    </row>
    <row r="402" spans="1:10" ht="31.5">
      <c r="A402" s="62" t="s">
        <v>18</v>
      </c>
      <c r="B402" s="48" t="s">
        <v>238</v>
      </c>
      <c r="C402" s="48" t="s">
        <v>13</v>
      </c>
      <c r="D402" s="54">
        <f>'2016 год Приложение  5'!E273</f>
        <v>437.2</v>
      </c>
      <c r="E402" s="54">
        <f>'2016 год Приложение  5'!F273</f>
        <v>-65.6</v>
      </c>
      <c r="F402" s="54">
        <f>'2016 год Приложение  5'!G273</f>
        <v>371.6</v>
      </c>
      <c r="H402" s="31"/>
      <c r="I402" s="31"/>
      <c r="J402" s="31"/>
    </row>
    <row r="403" spans="1:10" ht="63">
      <c r="A403" s="53" t="s">
        <v>65</v>
      </c>
      <c r="B403" s="48" t="s">
        <v>187</v>
      </c>
      <c r="C403" s="25"/>
      <c r="D403" s="49">
        <f>D404</f>
        <v>136.9</v>
      </c>
      <c r="E403" s="49">
        <f>E404</f>
        <v>0</v>
      </c>
      <c r="F403" s="49">
        <f>F404</f>
        <v>136.9</v>
      </c>
      <c r="H403" s="31"/>
      <c r="I403" s="31"/>
      <c r="J403" s="31"/>
    </row>
    <row r="404" spans="1:10" ht="15.75">
      <c r="A404" s="52" t="s">
        <v>61</v>
      </c>
      <c r="B404" s="48" t="s">
        <v>187</v>
      </c>
      <c r="C404" s="48" t="s">
        <v>62</v>
      </c>
      <c r="D404" s="49">
        <f>'2016 год Приложение  5'!E437</f>
        <v>136.9</v>
      </c>
      <c r="E404" s="49">
        <f>'2016 год Приложение  5'!F437</f>
        <v>0</v>
      </c>
      <c r="F404" s="49">
        <f>'2016 год Приложение  5'!G437</f>
        <v>136.9</v>
      </c>
      <c r="H404" s="31"/>
      <c r="I404" s="31"/>
      <c r="J404" s="31"/>
    </row>
    <row r="405" spans="1:10" ht="31.5">
      <c r="A405" s="52" t="s">
        <v>70</v>
      </c>
      <c r="B405" s="48" t="s">
        <v>202</v>
      </c>
      <c r="C405" s="48"/>
      <c r="D405" s="49">
        <f>D406+D408</f>
        <v>1072.3</v>
      </c>
      <c r="E405" s="49">
        <f>E406+E408</f>
        <v>0</v>
      </c>
      <c r="F405" s="49">
        <f>F406+F408</f>
        <v>1072.3</v>
      </c>
      <c r="H405" s="31"/>
      <c r="I405" s="31"/>
      <c r="J405" s="31"/>
    </row>
    <row r="406" spans="1:10" ht="126">
      <c r="A406" s="55" t="s">
        <v>77</v>
      </c>
      <c r="B406" s="48" t="s">
        <v>203</v>
      </c>
      <c r="C406" s="48"/>
      <c r="D406" s="49">
        <f>D407</f>
        <v>66.9</v>
      </c>
      <c r="E406" s="49">
        <f>E407</f>
        <v>-14.8</v>
      </c>
      <c r="F406" s="49">
        <f>F407</f>
        <v>52.10000000000001</v>
      </c>
      <c r="H406" s="31"/>
      <c r="I406" s="31"/>
      <c r="J406" s="31"/>
    </row>
    <row r="407" spans="1:10" ht="31.5">
      <c r="A407" s="97" t="s">
        <v>15</v>
      </c>
      <c r="B407" s="48" t="s">
        <v>203</v>
      </c>
      <c r="C407" s="48" t="s">
        <v>16</v>
      </c>
      <c r="D407" s="49">
        <f>'2016 год Приложение  5'!E320</f>
        <v>66.9</v>
      </c>
      <c r="E407" s="49">
        <f>'2016 год Приложение  5'!F320</f>
        <v>-14.8</v>
      </c>
      <c r="F407" s="49">
        <f>'2016 год Приложение  5'!G320</f>
        <v>52.10000000000001</v>
      </c>
      <c r="H407" s="31"/>
      <c r="I407" s="31"/>
      <c r="J407" s="31"/>
    </row>
    <row r="408" spans="1:10" ht="78.75">
      <c r="A408" s="53" t="s">
        <v>395</v>
      </c>
      <c r="B408" s="48" t="s">
        <v>396</v>
      </c>
      <c r="C408" s="48"/>
      <c r="D408" s="49">
        <f>D409</f>
        <v>1005.4</v>
      </c>
      <c r="E408" s="49">
        <f>E409</f>
        <v>14.8</v>
      </c>
      <c r="F408" s="49">
        <f>F409</f>
        <v>1020.1999999999999</v>
      </c>
      <c r="H408" s="31"/>
      <c r="I408" s="31"/>
      <c r="J408" s="31"/>
    </row>
    <row r="409" spans="1:10" ht="31.5">
      <c r="A409" s="53" t="s">
        <v>15</v>
      </c>
      <c r="B409" s="177" t="s">
        <v>396</v>
      </c>
      <c r="C409" s="48" t="s">
        <v>16</v>
      </c>
      <c r="D409" s="49">
        <f>'2016 год Приложение  5'!E322</f>
        <v>1005.4</v>
      </c>
      <c r="E409" s="49">
        <f>'2016 год Приложение  5'!F322</f>
        <v>14.8</v>
      </c>
      <c r="F409" s="49">
        <f>'2016 год Приложение  5'!G322</f>
        <v>1020.1999999999999</v>
      </c>
      <c r="H409" s="31"/>
      <c r="I409" s="31"/>
      <c r="J409" s="31"/>
    </row>
    <row r="410" spans="1:10" ht="63">
      <c r="A410" s="53" t="s">
        <v>102</v>
      </c>
      <c r="B410" s="48" t="s">
        <v>198</v>
      </c>
      <c r="C410" s="48"/>
      <c r="D410" s="49">
        <f>D411</f>
        <v>634.8</v>
      </c>
      <c r="E410" s="49">
        <f>E411</f>
        <v>0</v>
      </c>
      <c r="F410" s="49">
        <f>F411</f>
        <v>634.8</v>
      </c>
      <c r="H410" s="31"/>
      <c r="I410" s="31"/>
      <c r="J410" s="31"/>
    </row>
    <row r="411" spans="1:10" ht="15.75">
      <c r="A411" s="53" t="s">
        <v>38</v>
      </c>
      <c r="B411" s="48" t="s">
        <v>198</v>
      </c>
      <c r="C411" s="48" t="s">
        <v>22</v>
      </c>
      <c r="D411" s="49">
        <f>'2016 год Приложение  5'!E275</f>
        <v>634.8</v>
      </c>
      <c r="E411" s="49">
        <f>'2016 год Приложение  5'!F275</f>
        <v>0</v>
      </c>
      <c r="F411" s="49">
        <f>'2016 год Приложение  5'!G275</f>
        <v>634.8</v>
      </c>
      <c r="H411" s="31"/>
      <c r="I411" s="31"/>
      <c r="J411" s="31"/>
    </row>
    <row r="412" spans="1:10" ht="244.5" customHeight="1">
      <c r="A412" s="100" t="s">
        <v>329</v>
      </c>
      <c r="B412" s="59" t="s">
        <v>191</v>
      </c>
      <c r="C412" s="60"/>
      <c r="D412" s="56">
        <f>D413</f>
        <v>3</v>
      </c>
      <c r="E412" s="56">
        <f>E413</f>
        <v>0</v>
      </c>
      <c r="F412" s="56">
        <f>F413</f>
        <v>3</v>
      </c>
      <c r="H412" s="31"/>
      <c r="I412" s="31"/>
      <c r="J412" s="31"/>
    </row>
    <row r="413" spans="1:10" ht="31.5">
      <c r="A413" s="62" t="s">
        <v>18</v>
      </c>
      <c r="B413" s="59" t="s">
        <v>191</v>
      </c>
      <c r="C413" s="60">
        <v>200</v>
      </c>
      <c r="D413" s="49">
        <f>'2016 год Приложение  5'!E439</f>
        <v>3</v>
      </c>
      <c r="E413" s="49">
        <f>'2016 год Приложение  5'!F439</f>
        <v>0</v>
      </c>
      <c r="F413" s="49">
        <f>'2016 год Приложение  5'!G439</f>
        <v>3</v>
      </c>
      <c r="H413" s="31"/>
      <c r="I413" s="31"/>
      <c r="J413" s="31"/>
    </row>
    <row r="414" spans="1:10" ht="189">
      <c r="A414" s="98" t="s">
        <v>330</v>
      </c>
      <c r="B414" s="128" t="s">
        <v>192</v>
      </c>
      <c r="C414" s="129"/>
      <c r="D414" s="56">
        <f>D415</f>
        <v>3</v>
      </c>
      <c r="E414" s="56">
        <f>E415</f>
        <v>0</v>
      </c>
      <c r="F414" s="56">
        <f>F415</f>
        <v>3</v>
      </c>
      <c r="H414" s="31"/>
      <c r="I414" s="31"/>
      <c r="J414" s="31"/>
    </row>
    <row r="415" spans="1:10" ht="31.5">
      <c r="A415" s="62" t="s">
        <v>18</v>
      </c>
      <c r="B415" s="128" t="s">
        <v>192</v>
      </c>
      <c r="C415" s="130">
        <v>200</v>
      </c>
      <c r="D415" s="49">
        <f>'2016 год Приложение  5'!E441</f>
        <v>3</v>
      </c>
      <c r="E415" s="49">
        <f>'2016 год Приложение  5'!F441</f>
        <v>0</v>
      </c>
      <c r="F415" s="49">
        <f>'2016 год Приложение  5'!G441</f>
        <v>3</v>
      </c>
      <c r="H415" s="31"/>
      <c r="I415" s="31"/>
      <c r="J415" s="31"/>
    </row>
    <row r="416" spans="1:10" ht="31.5">
      <c r="A416" s="26" t="s">
        <v>63</v>
      </c>
      <c r="B416" s="128" t="s">
        <v>193</v>
      </c>
      <c r="C416" s="57"/>
      <c r="D416" s="56">
        <f>D417</f>
        <v>1650</v>
      </c>
      <c r="E416" s="56">
        <f>E417</f>
        <v>0</v>
      </c>
      <c r="F416" s="56">
        <f>F417</f>
        <v>1650</v>
      </c>
      <c r="H416" s="31"/>
      <c r="I416" s="31"/>
      <c r="J416" s="31"/>
    </row>
    <row r="417" spans="1:10" ht="15.75">
      <c r="A417" s="53" t="s">
        <v>61</v>
      </c>
      <c r="B417" s="128" t="s">
        <v>193</v>
      </c>
      <c r="C417" s="48" t="s">
        <v>62</v>
      </c>
      <c r="D417" s="49">
        <f>'2016 год Приложение  5'!E443</f>
        <v>1650</v>
      </c>
      <c r="E417" s="49">
        <f>'2016 год Приложение  5'!F443</f>
        <v>0</v>
      </c>
      <c r="F417" s="49">
        <f>'2016 год Приложение  5'!G443</f>
        <v>1650</v>
      </c>
      <c r="H417" s="31"/>
      <c r="I417" s="31"/>
      <c r="J417" s="31"/>
    </row>
    <row r="418" spans="1:10" ht="105">
      <c r="A418" s="99" t="s">
        <v>331</v>
      </c>
      <c r="B418" s="128" t="s">
        <v>194</v>
      </c>
      <c r="C418" s="58"/>
      <c r="D418" s="56">
        <f>D419</f>
        <v>148.6</v>
      </c>
      <c r="E418" s="56">
        <f>E419</f>
        <v>0</v>
      </c>
      <c r="F418" s="56">
        <f>F419</f>
        <v>148.6</v>
      </c>
      <c r="H418" s="31"/>
      <c r="I418" s="31"/>
      <c r="J418" s="31"/>
    </row>
    <row r="419" spans="1:10" ht="15.75">
      <c r="A419" s="53" t="s">
        <v>61</v>
      </c>
      <c r="B419" s="128" t="s">
        <v>194</v>
      </c>
      <c r="C419" s="48" t="s">
        <v>62</v>
      </c>
      <c r="D419" s="49">
        <f>'2016 год Приложение  5'!E445</f>
        <v>148.6</v>
      </c>
      <c r="E419" s="49">
        <f>'2016 год Приложение  5'!F445</f>
        <v>0</v>
      </c>
      <c r="F419" s="49">
        <f>'2016 год Приложение  5'!G445</f>
        <v>148.6</v>
      </c>
      <c r="H419" s="31"/>
      <c r="I419" s="31"/>
      <c r="J419" s="31"/>
    </row>
    <row r="420" spans="1:10" ht="137.25" customHeight="1">
      <c r="A420" s="61" t="s">
        <v>332</v>
      </c>
      <c r="B420" s="128" t="s">
        <v>195</v>
      </c>
      <c r="C420" s="58"/>
      <c r="D420" s="56">
        <f>D421</f>
        <v>7</v>
      </c>
      <c r="E420" s="56">
        <f>E421</f>
        <v>0</v>
      </c>
      <c r="F420" s="56">
        <f>F421</f>
        <v>7</v>
      </c>
      <c r="H420" s="31"/>
      <c r="I420" s="31"/>
      <c r="J420" s="31"/>
    </row>
    <row r="421" spans="1:10" ht="31.5">
      <c r="A421" s="53" t="s">
        <v>18</v>
      </c>
      <c r="B421" s="128" t="s">
        <v>195</v>
      </c>
      <c r="C421" s="48" t="s">
        <v>13</v>
      </c>
      <c r="D421" s="49">
        <f>'2016 год Приложение  5'!E447</f>
        <v>7</v>
      </c>
      <c r="E421" s="49">
        <f>'2016 год Приложение  5'!F447</f>
        <v>0</v>
      </c>
      <c r="F421" s="49">
        <f>'2016 год Приложение  5'!G447</f>
        <v>7</v>
      </c>
      <c r="H421" s="31"/>
      <c r="I421" s="31"/>
      <c r="J421" s="31"/>
    </row>
    <row r="422" spans="1:10" ht="47.25">
      <c r="A422" s="26" t="s">
        <v>78</v>
      </c>
      <c r="B422" s="48" t="s">
        <v>189</v>
      </c>
      <c r="C422" s="48" t="s">
        <v>0</v>
      </c>
      <c r="D422" s="56">
        <f>D423</f>
        <v>4200</v>
      </c>
      <c r="E422" s="56">
        <f>E423</f>
        <v>0</v>
      </c>
      <c r="F422" s="56">
        <f>F423</f>
        <v>4200</v>
      </c>
      <c r="H422" s="31"/>
      <c r="I422" s="31"/>
      <c r="J422" s="31"/>
    </row>
    <row r="423" spans="1:10" ht="15.75">
      <c r="A423" s="53" t="s">
        <v>61</v>
      </c>
      <c r="B423" s="48" t="s">
        <v>189</v>
      </c>
      <c r="C423" s="48" t="s">
        <v>62</v>
      </c>
      <c r="D423" s="49">
        <f>'2016 год Приложение  5'!E449</f>
        <v>4200</v>
      </c>
      <c r="E423" s="49">
        <f>'2016 год Приложение  5'!F449</f>
        <v>0</v>
      </c>
      <c r="F423" s="49">
        <f>'2016 год Приложение  5'!G449</f>
        <v>4200</v>
      </c>
      <c r="H423" s="31"/>
      <c r="I423" s="31"/>
      <c r="J423" s="31"/>
    </row>
    <row r="424" spans="1:10" ht="31.5">
      <c r="A424" s="97" t="s">
        <v>64</v>
      </c>
      <c r="B424" s="48" t="s">
        <v>190</v>
      </c>
      <c r="C424" s="57"/>
      <c r="D424" s="56">
        <f>D425</f>
        <v>21516</v>
      </c>
      <c r="E424" s="56">
        <f>E425</f>
        <v>0</v>
      </c>
      <c r="F424" s="56">
        <f>F425</f>
        <v>21516</v>
      </c>
      <c r="H424" s="31"/>
      <c r="I424" s="31"/>
      <c r="J424" s="31"/>
    </row>
    <row r="425" spans="1:10" ht="15.75">
      <c r="A425" s="53" t="s">
        <v>61</v>
      </c>
      <c r="B425" s="48" t="s">
        <v>190</v>
      </c>
      <c r="C425" s="48" t="s">
        <v>62</v>
      </c>
      <c r="D425" s="49">
        <f>'2016 год Приложение  5'!E451</f>
        <v>21516</v>
      </c>
      <c r="E425" s="49">
        <f>'2016 год Приложение  5'!F451</f>
        <v>0</v>
      </c>
      <c r="F425" s="49">
        <f>'2016 год Приложение  5'!G451</f>
        <v>21516</v>
      </c>
      <c r="H425" s="31"/>
      <c r="I425" s="31"/>
      <c r="J425" s="31"/>
    </row>
  </sheetData>
  <sheetProtection/>
  <mergeCells count="11">
    <mergeCell ref="E9:E10"/>
    <mergeCell ref="F9:F10"/>
    <mergeCell ref="B1:F1"/>
    <mergeCell ref="A9:A10"/>
    <mergeCell ref="D9:D10"/>
    <mergeCell ref="B4:F4"/>
    <mergeCell ref="B9:B10"/>
    <mergeCell ref="C9:C10"/>
    <mergeCell ref="A7:F7"/>
    <mergeCell ref="B2:F2"/>
    <mergeCell ref="B5:F5"/>
  </mergeCells>
  <printOptions horizontalCentered="1"/>
  <pageMargins left="0.984251968503937" right="0.7874015748031497" top="0.3937007874015748" bottom="0.3937007874015748" header="0.3937007874015748" footer="0.3937007874015748"/>
  <pageSetup fitToHeight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2"/>
  <sheetViews>
    <sheetView view="pageBreakPreview" zoomScale="90" zoomScaleSheetLayoutView="90" zoomScalePageLayoutView="0" workbookViewId="0" topLeftCell="A1">
      <selection activeCell="T25" sqref="T25"/>
    </sheetView>
  </sheetViews>
  <sheetFormatPr defaultColWidth="9.140625" defaultRowHeight="12.75"/>
  <cols>
    <col min="1" max="1" width="48.421875" style="21" customWidth="1"/>
    <col min="2" max="2" width="16.140625" style="21" customWidth="1"/>
    <col min="3" max="3" width="7.00390625" style="21" customWidth="1"/>
    <col min="4" max="4" width="16.8515625" style="21" customWidth="1"/>
    <col min="5" max="5" width="14.57421875" style="21" customWidth="1"/>
    <col min="6" max="6" width="12.8515625" style="21" customWidth="1"/>
    <col min="7" max="7" width="11.140625" style="21" customWidth="1"/>
    <col min="8" max="8" width="12.140625" style="21" customWidth="1"/>
    <col min="9" max="9" width="10.28125" style="21" bestFit="1" customWidth="1"/>
    <col min="10" max="16384" width="9.140625" style="21" customWidth="1"/>
  </cols>
  <sheetData>
    <row r="1" spans="2:5" ht="15.75">
      <c r="B1" s="260" t="s">
        <v>441</v>
      </c>
      <c r="C1" s="260"/>
      <c r="D1" s="260"/>
      <c r="E1" s="260"/>
    </row>
    <row r="2" spans="2:5" ht="33.75" customHeight="1">
      <c r="B2" s="264" t="s">
        <v>474</v>
      </c>
      <c r="C2" s="264"/>
      <c r="D2" s="264"/>
      <c r="E2" s="264"/>
    </row>
    <row r="3" spans="2:5" ht="12.75">
      <c r="B3" s="254"/>
      <c r="C3" s="254"/>
      <c r="D3" s="254"/>
      <c r="E3" s="254"/>
    </row>
    <row r="4" spans="1:5" ht="18.75">
      <c r="A4" s="5"/>
      <c r="B4" s="260" t="s">
        <v>441</v>
      </c>
      <c r="C4" s="260"/>
      <c r="D4" s="260"/>
      <c r="E4" s="260"/>
    </row>
    <row r="5" spans="1:5" ht="28.5" customHeight="1">
      <c r="A5" s="5"/>
      <c r="B5" s="264" t="s">
        <v>347</v>
      </c>
      <c r="C5" s="264"/>
      <c r="D5" s="264"/>
      <c r="E5" s="264"/>
    </row>
    <row r="6" spans="1:4" ht="18.75">
      <c r="A6" s="5"/>
      <c r="B6" s="6"/>
      <c r="C6" s="6"/>
      <c r="D6" s="6"/>
    </row>
    <row r="7" spans="1:5" ht="60.75" customHeight="1">
      <c r="A7" s="265" t="s">
        <v>442</v>
      </c>
      <c r="B7" s="265"/>
      <c r="C7" s="265"/>
      <c r="D7" s="265"/>
      <c r="E7" s="265"/>
    </row>
    <row r="8" spans="1:4" ht="15.75">
      <c r="A8" s="1" t="s">
        <v>0</v>
      </c>
      <c r="B8" s="1" t="s">
        <v>0</v>
      </c>
      <c r="C8" s="1" t="s">
        <v>0</v>
      </c>
      <c r="D8" s="2"/>
    </row>
    <row r="9" spans="1:8" ht="22.5" customHeight="1">
      <c r="A9" s="267" t="s">
        <v>3</v>
      </c>
      <c r="B9" s="266" t="s">
        <v>1</v>
      </c>
      <c r="C9" s="266" t="s">
        <v>2</v>
      </c>
      <c r="D9" s="7" t="s">
        <v>443</v>
      </c>
      <c r="E9" s="7" t="s">
        <v>444</v>
      </c>
      <c r="G9" s="31"/>
      <c r="H9" s="31"/>
    </row>
    <row r="10" spans="1:5" ht="27.75" customHeight="1">
      <c r="A10" s="267"/>
      <c r="B10" s="266"/>
      <c r="C10" s="266"/>
      <c r="D10" s="201" t="s">
        <v>9</v>
      </c>
      <c r="E10" s="201" t="s">
        <v>9</v>
      </c>
    </row>
    <row r="11" spans="1:5" ht="12.75">
      <c r="A11" s="29" t="s">
        <v>4</v>
      </c>
      <c r="B11" s="29" t="s">
        <v>5</v>
      </c>
      <c r="C11" s="29" t="s">
        <v>6</v>
      </c>
      <c r="D11" s="29" t="s">
        <v>7</v>
      </c>
      <c r="E11" s="29">
        <v>5</v>
      </c>
    </row>
    <row r="12" spans="1:10" ht="26.25" customHeight="1">
      <c r="A12" s="33" t="s">
        <v>8</v>
      </c>
      <c r="B12" s="7" t="s">
        <v>0</v>
      </c>
      <c r="C12" s="7" t="s">
        <v>0</v>
      </c>
      <c r="D12" s="8">
        <f>D13+D21+D27+D69+D109+D130+D143+D201+D216+D234</f>
        <v>1580948.3999999997</v>
      </c>
      <c r="E12" s="8">
        <f>E13+E21+E27+E69+E109+E130+E143+E201+E216+E234</f>
        <v>1494132.9</v>
      </c>
      <c r="F12" s="21" t="b">
        <f>'2017-2018 годы ПРиложение 6'!E12='2017-2018 годы  Приложение 4'!D12</f>
        <v>1</v>
      </c>
      <c r="G12" s="21" t="b">
        <f>'2017-2018 годы ПРиложение 6'!F12='2017-2018 годы  Приложение 4'!E12</f>
        <v>1</v>
      </c>
      <c r="H12" s="31"/>
      <c r="I12" s="31"/>
      <c r="J12" s="31"/>
    </row>
    <row r="13" spans="1:10" ht="31.5">
      <c r="A13" s="34" t="s">
        <v>95</v>
      </c>
      <c r="B13" s="35" t="s">
        <v>182</v>
      </c>
      <c r="C13" s="35" t="s">
        <v>0</v>
      </c>
      <c r="D13" s="36">
        <f>D14</f>
        <v>1987.7</v>
      </c>
      <c r="E13" s="36">
        <f>E14</f>
        <v>1987.7</v>
      </c>
      <c r="G13" s="155"/>
      <c r="H13" s="155"/>
      <c r="I13" s="155"/>
      <c r="J13" s="155"/>
    </row>
    <row r="14" spans="1:9" ht="47.25">
      <c r="A14" s="15" t="s">
        <v>96</v>
      </c>
      <c r="B14" s="13" t="s">
        <v>183</v>
      </c>
      <c r="C14" s="13" t="s">
        <v>0</v>
      </c>
      <c r="D14" s="14">
        <f>D19+D17+D15</f>
        <v>1987.7</v>
      </c>
      <c r="E14" s="14">
        <f>E19+E17+E15</f>
        <v>1987.7</v>
      </c>
      <c r="F14" s="155"/>
      <c r="G14" s="155"/>
      <c r="H14" s="155"/>
      <c r="I14" s="155"/>
    </row>
    <row r="15" spans="1:5" ht="31.5">
      <c r="A15" s="16" t="s">
        <v>11</v>
      </c>
      <c r="B15" s="17" t="s">
        <v>184</v>
      </c>
      <c r="C15" s="17"/>
      <c r="D15" s="10">
        <f>D16</f>
        <v>180</v>
      </c>
      <c r="E15" s="10">
        <f>E16</f>
        <v>180</v>
      </c>
    </row>
    <row r="16" spans="1:5" ht="31.5">
      <c r="A16" s="51" t="s">
        <v>18</v>
      </c>
      <c r="B16" s="17" t="s">
        <v>184</v>
      </c>
      <c r="C16" s="48" t="s">
        <v>13</v>
      </c>
      <c r="D16" s="24">
        <f>'2017-2018 годы ПРиложение 6'!E27</f>
        <v>180</v>
      </c>
      <c r="E16" s="24">
        <f>'2017-2018 годы ПРиложение 6'!F27</f>
        <v>180</v>
      </c>
    </row>
    <row r="17" spans="1:5" ht="31.5">
      <c r="A17" s="46" t="s">
        <v>445</v>
      </c>
      <c r="B17" s="17" t="s">
        <v>446</v>
      </c>
      <c r="C17" s="48"/>
      <c r="D17" s="24">
        <f>D18</f>
        <v>677.7</v>
      </c>
      <c r="E17" s="24">
        <f>E18</f>
        <v>677.7</v>
      </c>
    </row>
    <row r="18" spans="1:5" ht="31.5">
      <c r="A18" s="65" t="s">
        <v>18</v>
      </c>
      <c r="B18" s="17" t="s">
        <v>446</v>
      </c>
      <c r="C18" s="48" t="s">
        <v>13</v>
      </c>
      <c r="D18" s="24">
        <f>'2017-2018 годы ПРиложение 6'!E29</f>
        <v>677.7</v>
      </c>
      <c r="E18" s="24">
        <f>'2017-2018 годы ПРиложение 6'!F29</f>
        <v>677.7</v>
      </c>
    </row>
    <row r="19" spans="1:5" ht="31.5">
      <c r="A19" s="46" t="s">
        <v>12</v>
      </c>
      <c r="B19" s="17" t="s">
        <v>185</v>
      </c>
      <c r="C19" s="48"/>
      <c r="D19" s="24">
        <f>D20</f>
        <v>1130</v>
      </c>
      <c r="E19" s="24">
        <f>E20</f>
        <v>1130</v>
      </c>
    </row>
    <row r="20" spans="1:5" ht="15.75">
      <c r="A20" s="65" t="s">
        <v>14</v>
      </c>
      <c r="B20" s="17" t="s">
        <v>185</v>
      </c>
      <c r="C20" s="48" t="s">
        <v>17</v>
      </c>
      <c r="D20" s="24">
        <f>'2017-2018 годы ПРиложение 6'!E31</f>
        <v>1130</v>
      </c>
      <c r="E20" s="24">
        <f>'2017-2018 годы ПРиложение 6'!F31</f>
        <v>1130</v>
      </c>
    </row>
    <row r="21" spans="1:10" ht="47.25">
      <c r="A21" s="34" t="s">
        <v>97</v>
      </c>
      <c r="B21" s="35" t="s">
        <v>266</v>
      </c>
      <c r="C21" s="35" t="s">
        <v>0</v>
      </c>
      <c r="D21" s="36">
        <f>D22</f>
        <v>140</v>
      </c>
      <c r="E21" s="36">
        <f>E22</f>
        <v>140</v>
      </c>
      <c r="G21" s="155"/>
      <c r="H21" s="155"/>
      <c r="I21" s="155"/>
      <c r="J21" s="155"/>
    </row>
    <row r="22" spans="1:10" ht="47.25">
      <c r="A22" s="15" t="s">
        <v>116</v>
      </c>
      <c r="B22" s="13" t="s">
        <v>267</v>
      </c>
      <c r="C22" s="13" t="s">
        <v>0</v>
      </c>
      <c r="D22" s="14">
        <f>+D23+D25</f>
        <v>140</v>
      </c>
      <c r="E22" s="14">
        <f>+E23+E25</f>
        <v>140</v>
      </c>
      <c r="F22" s="155"/>
      <c r="G22" s="155"/>
      <c r="H22" s="155"/>
      <c r="I22" s="155"/>
      <c r="J22" s="155"/>
    </row>
    <row r="23" spans="1:5" ht="15.75">
      <c r="A23" s="16" t="s">
        <v>31</v>
      </c>
      <c r="B23" s="9" t="s">
        <v>268</v>
      </c>
      <c r="C23" s="17"/>
      <c r="D23" s="10">
        <f>D24</f>
        <v>120</v>
      </c>
      <c r="E23" s="10">
        <f>E24</f>
        <v>120</v>
      </c>
    </row>
    <row r="24" spans="1:5" ht="31.5">
      <c r="A24" s="65" t="s">
        <v>18</v>
      </c>
      <c r="B24" s="9" t="s">
        <v>268</v>
      </c>
      <c r="C24" s="48" t="s">
        <v>13</v>
      </c>
      <c r="D24" s="24">
        <f>'2017-2018 годы ПРиложение 6'!E35</f>
        <v>120</v>
      </c>
      <c r="E24" s="24">
        <f>'2017-2018 годы ПРиложение 6'!F35</f>
        <v>120</v>
      </c>
    </row>
    <row r="25" spans="1:5" ht="78.75">
      <c r="A25" s="16" t="s">
        <v>32</v>
      </c>
      <c r="B25" s="9" t="s">
        <v>269</v>
      </c>
      <c r="C25" s="17"/>
      <c r="D25" s="10">
        <f>D26</f>
        <v>20</v>
      </c>
      <c r="E25" s="10">
        <f>E26</f>
        <v>20</v>
      </c>
    </row>
    <row r="26" spans="1:5" ht="15.75">
      <c r="A26" s="65" t="s">
        <v>14</v>
      </c>
      <c r="B26" s="9" t="s">
        <v>269</v>
      </c>
      <c r="C26" s="48" t="s">
        <v>17</v>
      </c>
      <c r="D26" s="24">
        <f>'2017-2018 годы ПРиложение 6'!E37</f>
        <v>20</v>
      </c>
      <c r="E26" s="24">
        <f>'2017-2018 годы ПРиложение 6'!F37</f>
        <v>20</v>
      </c>
    </row>
    <row r="27" spans="1:10" ht="63">
      <c r="A27" s="202" t="s">
        <v>98</v>
      </c>
      <c r="B27" s="38" t="s">
        <v>306</v>
      </c>
      <c r="C27" s="38" t="s">
        <v>0</v>
      </c>
      <c r="D27" s="36">
        <f>D28+D41+D48+D66</f>
        <v>135772.5</v>
      </c>
      <c r="E27" s="36">
        <f>E28+E41+E48+E66</f>
        <v>58826.9</v>
      </c>
      <c r="G27" s="155"/>
      <c r="H27" s="155"/>
      <c r="I27" s="155"/>
      <c r="J27" s="155"/>
    </row>
    <row r="28" spans="1:10" ht="47.25">
      <c r="A28" s="15" t="s">
        <v>114</v>
      </c>
      <c r="B28" s="13" t="s">
        <v>307</v>
      </c>
      <c r="C28" s="13" t="s">
        <v>0</v>
      </c>
      <c r="D28" s="14">
        <f>D29+D31+D33+D37+D39+D35</f>
        <v>32381.6</v>
      </c>
      <c r="E28" s="14">
        <f>E29+E31+E33+E37+E39+E35</f>
        <v>33089.5</v>
      </c>
      <c r="F28" s="155"/>
      <c r="G28" s="155"/>
      <c r="H28" s="155"/>
      <c r="I28" s="155"/>
      <c r="J28" s="155"/>
    </row>
    <row r="29" spans="1:5" ht="31.5">
      <c r="A29" s="47" t="s">
        <v>89</v>
      </c>
      <c r="B29" s="17" t="s">
        <v>308</v>
      </c>
      <c r="C29" s="17"/>
      <c r="D29" s="24">
        <f>D30</f>
        <v>3723</v>
      </c>
      <c r="E29" s="24">
        <f>E30</f>
        <v>3723</v>
      </c>
    </row>
    <row r="30" spans="1:5" ht="31.5">
      <c r="A30" s="65" t="s">
        <v>18</v>
      </c>
      <c r="B30" s="17" t="s">
        <v>308</v>
      </c>
      <c r="C30" s="48" t="s">
        <v>13</v>
      </c>
      <c r="D30" s="24">
        <f>'2017-2018 годы ПРиложение 6'!E41</f>
        <v>3723</v>
      </c>
      <c r="E30" s="24">
        <f>'2017-2018 годы ПРиложение 6'!F41</f>
        <v>3723</v>
      </c>
    </row>
    <row r="31" spans="1:5" ht="31.5">
      <c r="A31" s="65" t="s">
        <v>99</v>
      </c>
      <c r="B31" s="25" t="s">
        <v>346</v>
      </c>
      <c r="C31" s="48"/>
      <c r="D31" s="24">
        <f>D32</f>
        <v>2000</v>
      </c>
      <c r="E31" s="24">
        <f>E32</f>
        <v>2000</v>
      </c>
    </row>
    <row r="32" spans="1:5" ht="15.75">
      <c r="A32" s="65" t="s">
        <v>14</v>
      </c>
      <c r="B32" s="25" t="s">
        <v>346</v>
      </c>
      <c r="C32" s="25" t="s">
        <v>17</v>
      </c>
      <c r="D32" s="24">
        <f>'2017-2018 годы ПРиложение 6'!E43</f>
        <v>2000</v>
      </c>
      <c r="E32" s="24">
        <f>'2017-2018 годы ПРиложение 6'!F43</f>
        <v>2000</v>
      </c>
    </row>
    <row r="33" spans="1:5" ht="47.25">
      <c r="A33" s="62" t="s">
        <v>67</v>
      </c>
      <c r="B33" s="17" t="s">
        <v>310</v>
      </c>
      <c r="C33" s="25"/>
      <c r="D33" s="24">
        <f>D34</f>
        <v>20180.6</v>
      </c>
      <c r="E33" s="24">
        <f>E34</f>
        <v>19941</v>
      </c>
    </row>
    <row r="34" spans="1:5" ht="31.5">
      <c r="A34" s="62" t="s">
        <v>18</v>
      </c>
      <c r="B34" s="17" t="s">
        <v>310</v>
      </c>
      <c r="C34" s="25" t="s">
        <v>13</v>
      </c>
      <c r="D34" s="24">
        <f>'2017-2018 годы ПРиложение 6'!E45</f>
        <v>20180.6</v>
      </c>
      <c r="E34" s="24">
        <f>'2017-2018 годы ПРиложение 6'!F45</f>
        <v>19941</v>
      </c>
    </row>
    <row r="35" spans="1:5" ht="31.5">
      <c r="A35" s="62" t="s">
        <v>103</v>
      </c>
      <c r="B35" s="17" t="s">
        <v>320</v>
      </c>
      <c r="C35" s="25"/>
      <c r="D35" s="24">
        <f>D36</f>
        <v>500</v>
      </c>
      <c r="E35" s="24">
        <f>E36</f>
        <v>500</v>
      </c>
    </row>
    <row r="36" spans="1:5" ht="31.5">
      <c r="A36" s="62" t="s">
        <v>18</v>
      </c>
      <c r="B36" s="17" t="s">
        <v>320</v>
      </c>
      <c r="C36" s="25" t="s">
        <v>13</v>
      </c>
      <c r="D36" s="24">
        <f>'2017-2018 годы ПРиложение 6'!E212</f>
        <v>500</v>
      </c>
      <c r="E36" s="24">
        <f>'2017-2018 годы ПРиложение 6'!F212</f>
        <v>500</v>
      </c>
    </row>
    <row r="37" spans="1:5" ht="78.75">
      <c r="A37" s="46" t="s">
        <v>379</v>
      </c>
      <c r="B37" s="48" t="s">
        <v>322</v>
      </c>
      <c r="C37" s="72"/>
      <c r="D37" s="24">
        <f>D38</f>
        <v>478</v>
      </c>
      <c r="E37" s="24">
        <f>E38</f>
        <v>425.5</v>
      </c>
    </row>
    <row r="38" spans="1:5" ht="31.5">
      <c r="A38" s="65" t="s">
        <v>18</v>
      </c>
      <c r="B38" s="48" t="s">
        <v>322</v>
      </c>
      <c r="C38" s="25" t="s">
        <v>13</v>
      </c>
      <c r="D38" s="24">
        <f>'2017-2018 годы ПРиложение 6'!E47</f>
        <v>478</v>
      </c>
      <c r="E38" s="24">
        <f>'2017-2018 годы ПРиложение 6'!F47</f>
        <v>425.5</v>
      </c>
    </row>
    <row r="39" spans="1:5" ht="78.75">
      <c r="A39" s="27" t="s">
        <v>109</v>
      </c>
      <c r="B39" s="48" t="s">
        <v>321</v>
      </c>
      <c r="C39" s="72"/>
      <c r="D39" s="24">
        <f>D40</f>
        <v>5500</v>
      </c>
      <c r="E39" s="24">
        <f>E40</f>
        <v>6500</v>
      </c>
    </row>
    <row r="40" spans="1:5" ht="15.75">
      <c r="A40" s="65" t="s">
        <v>14</v>
      </c>
      <c r="B40" s="48" t="s">
        <v>321</v>
      </c>
      <c r="C40" s="25" t="s">
        <v>17</v>
      </c>
      <c r="D40" s="24">
        <f>'2017-2018 годы ПРиложение 6'!E49</f>
        <v>5500</v>
      </c>
      <c r="E40" s="24">
        <f>'2017-2018 годы ПРиложение 6'!F49</f>
        <v>6500</v>
      </c>
    </row>
    <row r="41" spans="1:10" ht="63">
      <c r="A41" s="15" t="s">
        <v>112</v>
      </c>
      <c r="B41" s="13" t="s">
        <v>311</v>
      </c>
      <c r="C41" s="13" t="s">
        <v>0</v>
      </c>
      <c r="D41" s="14">
        <f>D46+D44+D42</f>
        <v>77893.1</v>
      </c>
      <c r="E41" s="14">
        <f>E46+E44</f>
        <v>0</v>
      </c>
      <c r="F41" s="155"/>
      <c r="G41" s="155"/>
      <c r="H41" s="155"/>
      <c r="I41" s="155"/>
      <c r="J41" s="155"/>
    </row>
    <row r="42" spans="1:10" ht="94.5">
      <c r="A42" s="46" t="s">
        <v>352</v>
      </c>
      <c r="B42" s="48" t="s">
        <v>351</v>
      </c>
      <c r="C42" s="25"/>
      <c r="D42" s="82">
        <f>'2017-2018 годы ПРиложение 6'!E51</f>
        <v>39397.1</v>
      </c>
      <c r="E42" s="82">
        <f>'2017-2018 годы ПРиложение 6'!F51</f>
        <v>0</v>
      </c>
      <c r="F42" s="155"/>
      <c r="G42" s="155"/>
      <c r="H42" s="155"/>
      <c r="I42" s="155"/>
      <c r="J42" s="155"/>
    </row>
    <row r="43" spans="1:10" ht="47.25">
      <c r="A43" s="46" t="s">
        <v>40</v>
      </c>
      <c r="B43" s="48" t="s">
        <v>351</v>
      </c>
      <c r="C43" s="25" t="s">
        <v>35</v>
      </c>
      <c r="D43" s="82">
        <f>'2017-2018 годы ПРиложение 6'!E52</f>
        <v>39397.1</v>
      </c>
      <c r="E43" s="82">
        <f>'2017-2018 годы ПРиложение 6'!F52</f>
        <v>0</v>
      </c>
      <c r="F43" s="155"/>
      <c r="G43" s="155"/>
      <c r="H43" s="155"/>
      <c r="I43" s="155"/>
      <c r="J43" s="155"/>
    </row>
    <row r="44" spans="1:10" ht="94.5">
      <c r="A44" s="46" t="s">
        <v>352</v>
      </c>
      <c r="B44" s="48" t="s">
        <v>328</v>
      </c>
      <c r="C44" s="48"/>
      <c r="D44" s="82">
        <f>D45</f>
        <v>32396.3</v>
      </c>
      <c r="E44" s="82">
        <f>E45</f>
        <v>0</v>
      </c>
      <c r="F44" s="155"/>
      <c r="G44" s="155"/>
      <c r="H44" s="155"/>
      <c r="I44" s="155"/>
      <c r="J44" s="155"/>
    </row>
    <row r="45" spans="1:10" ht="47.25">
      <c r="A45" s="46" t="s">
        <v>40</v>
      </c>
      <c r="B45" s="48" t="s">
        <v>328</v>
      </c>
      <c r="C45" s="48" t="s">
        <v>35</v>
      </c>
      <c r="D45" s="82">
        <f>'2017-2018 годы ПРиложение 6'!E54</f>
        <v>32396.3</v>
      </c>
      <c r="E45" s="82">
        <f>'2017-2018 годы ПРиложение 6'!F54</f>
        <v>0</v>
      </c>
      <c r="F45" s="155"/>
      <c r="G45" s="155"/>
      <c r="H45" s="155"/>
      <c r="I45" s="155"/>
      <c r="J45" s="155"/>
    </row>
    <row r="46" spans="1:5" ht="94.5">
      <c r="A46" s="157" t="s">
        <v>327</v>
      </c>
      <c r="B46" s="48" t="s">
        <v>345</v>
      </c>
      <c r="C46" s="48"/>
      <c r="D46" s="24">
        <f>D47</f>
        <v>6099.7</v>
      </c>
      <c r="E46" s="24">
        <f>E47</f>
        <v>0</v>
      </c>
    </row>
    <row r="47" spans="1:5" ht="47.25">
      <c r="A47" s="26" t="s">
        <v>40</v>
      </c>
      <c r="B47" s="48" t="s">
        <v>345</v>
      </c>
      <c r="C47" s="48" t="s">
        <v>35</v>
      </c>
      <c r="D47" s="24">
        <f>'2017-2018 годы ПРиложение 6'!E56</f>
        <v>6099.7</v>
      </c>
      <c r="E47" s="24">
        <f>'2017-2018 годы ПРиложение 6'!F56</f>
        <v>0</v>
      </c>
    </row>
    <row r="48" spans="1:10" ht="31.5">
      <c r="A48" s="15" t="s">
        <v>91</v>
      </c>
      <c r="B48" s="13" t="s">
        <v>312</v>
      </c>
      <c r="C48" s="13" t="s">
        <v>0</v>
      </c>
      <c r="D48" s="14">
        <f>D49+D51+D53+D57+D59+D62+D64+D55</f>
        <v>25347.8</v>
      </c>
      <c r="E48" s="14">
        <f>E49+E51+E53+E57+E59+E62+E64+E55</f>
        <v>25587.4</v>
      </c>
      <c r="F48" s="155"/>
      <c r="G48" s="155"/>
      <c r="H48" s="155"/>
      <c r="I48" s="155"/>
      <c r="J48" s="155"/>
    </row>
    <row r="49" spans="1:10" ht="47.25">
      <c r="A49" s="47" t="s">
        <v>54</v>
      </c>
      <c r="B49" s="40" t="s">
        <v>313</v>
      </c>
      <c r="C49" s="72"/>
      <c r="D49" s="24">
        <f>D50</f>
        <v>982.1</v>
      </c>
      <c r="E49" s="24">
        <f>E50</f>
        <v>982.1</v>
      </c>
      <c r="F49" s="155"/>
      <c r="G49" s="155"/>
      <c r="H49" s="155"/>
      <c r="I49" s="155"/>
      <c r="J49" s="155"/>
    </row>
    <row r="50" spans="1:10" ht="31.5">
      <c r="A50" s="65" t="s">
        <v>18</v>
      </c>
      <c r="B50" s="40" t="s">
        <v>313</v>
      </c>
      <c r="C50" s="25" t="s">
        <v>13</v>
      </c>
      <c r="D50" s="24">
        <f>'2017-2018 годы ПРиложение 6'!E59</f>
        <v>982.1</v>
      </c>
      <c r="E50" s="24">
        <f>'2017-2018 годы ПРиложение 6'!F59</f>
        <v>982.1</v>
      </c>
      <c r="F50" s="155"/>
      <c r="G50" s="155"/>
      <c r="H50" s="155"/>
      <c r="I50" s="155"/>
      <c r="J50" s="155"/>
    </row>
    <row r="51" spans="1:5" ht="47.25">
      <c r="A51" s="47" t="s">
        <v>54</v>
      </c>
      <c r="B51" s="17" t="s">
        <v>336</v>
      </c>
      <c r="C51" s="40"/>
      <c r="D51" s="41">
        <f>D52</f>
        <v>520.9</v>
      </c>
      <c r="E51" s="41">
        <f>E52</f>
        <v>520.9</v>
      </c>
    </row>
    <row r="52" spans="1:5" ht="31.5">
      <c r="A52" s="65" t="s">
        <v>18</v>
      </c>
      <c r="B52" s="17" t="s">
        <v>336</v>
      </c>
      <c r="C52" s="25" t="s">
        <v>13</v>
      </c>
      <c r="D52" s="24">
        <f>'2017-2018 годы ПРиложение 6'!E61</f>
        <v>520.9</v>
      </c>
      <c r="E52" s="24">
        <f>'2017-2018 годы ПРиложение 6'!F61</f>
        <v>520.9</v>
      </c>
    </row>
    <row r="53" spans="1:5" ht="47.25">
      <c r="A53" s="46" t="s">
        <v>54</v>
      </c>
      <c r="B53" s="25" t="s">
        <v>324</v>
      </c>
      <c r="C53" s="72"/>
      <c r="D53" s="203">
        <f>D54</f>
        <v>2582.2</v>
      </c>
      <c r="E53" s="203">
        <f>E54</f>
        <v>2582.2</v>
      </c>
    </row>
    <row r="54" spans="1:5" ht="31.5">
      <c r="A54" s="62" t="s">
        <v>18</v>
      </c>
      <c r="B54" s="25" t="s">
        <v>324</v>
      </c>
      <c r="C54" s="25" t="s">
        <v>13</v>
      </c>
      <c r="D54" s="24">
        <f>'2017-2018 годы ПРиложение 6'!E63</f>
        <v>2582.2</v>
      </c>
      <c r="E54" s="24">
        <f>'2017-2018 годы ПРиложение 6'!F63</f>
        <v>2582.2</v>
      </c>
    </row>
    <row r="55" spans="1:5" ht="31.5">
      <c r="A55" s="46" t="s">
        <v>55</v>
      </c>
      <c r="B55" s="25" t="s">
        <v>314</v>
      </c>
      <c r="C55" s="25"/>
      <c r="D55" s="24">
        <f>D56</f>
        <v>130.9</v>
      </c>
      <c r="E55" s="24">
        <f>E56</f>
        <v>130.9</v>
      </c>
    </row>
    <row r="56" spans="1:5" ht="31.5">
      <c r="A56" s="86" t="s">
        <v>18</v>
      </c>
      <c r="B56" s="25" t="s">
        <v>314</v>
      </c>
      <c r="C56" s="25" t="s">
        <v>13</v>
      </c>
      <c r="D56" s="24">
        <f>'2017-2018 годы ПРиложение 6'!E65</f>
        <v>130.9</v>
      </c>
      <c r="E56" s="24">
        <f>'2017-2018 годы ПРиложение 6'!F65</f>
        <v>130.9</v>
      </c>
    </row>
    <row r="57" spans="1:5" ht="31.5">
      <c r="A57" s="46" t="s">
        <v>55</v>
      </c>
      <c r="B57" s="9" t="s">
        <v>337</v>
      </c>
      <c r="C57" s="72"/>
      <c r="D57" s="24">
        <f>D58</f>
        <v>295.9</v>
      </c>
      <c r="E57" s="24">
        <f>E58</f>
        <v>295.9</v>
      </c>
    </row>
    <row r="58" spans="1:5" ht="31.5">
      <c r="A58" s="65" t="s">
        <v>18</v>
      </c>
      <c r="B58" s="9" t="s">
        <v>337</v>
      </c>
      <c r="C58" s="25" t="s">
        <v>13</v>
      </c>
      <c r="D58" s="24">
        <f>'2017-2018 годы ПРиложение 6'!E67</f>
        <v>295.9</v>
      </c>
      <c r="E58" s="24">
        <f>'2017-2018 годы ПРиложение 6'!F67</f>
        <v>295.9</v>
      </c>
    </row>
    <row r="59" spans="1:5" ht="31.5">
      <c r="A59" s="16" t="s">
        <v>55</v>
      </c>
      <c r="B59" s="25" t="s">
        <v>323</v>
      </c>
      <c r="C59" s="9"/>
      <c r="D59" s="74">
        <f>D60+D61</f>
        <v>14819.8</v>
      </c>
      <c r="E59" s="74">
        <f>E60+E61</f>
        <v>14819.8</v>
      </c>
    </row>
    <row r="60" spans="1:5" ht="31.5">
      <c r="A60" s="65" t="s">
        <v>18</v>
      </c>
      <c r="B60" s="25" t="s">
        <v>323</v>
      </c>
      <c r="C60" s="25" t="s">
        <v>13</v>
      </c>
      <c r="D60" s="24">
        <f>'2017-2018 годы ПРиложение 6'!E69</f>
        <v>12955.3</v>
      </c>
      <c r="E60" s="24">
        <f>'2017-2018 годы ПРиложение 6'!F69</f>
        <v>12955.3</v>
      </c>
    </row>
    <row r="61" spans="1:5" ht="15.75">
      <c r="A61" s="53" t="s">
        <v>61</v>
      </c>
      <c r="B61" s="25" t="s">
        <v>323</v>
      </c>
      <c r="C61" s="25" t="s">
        <v>62</v>
      </c>
      <c r="D61" s="24">
        <f>'2017-2018 годы ПРиложение 6'!E70</f>
        <v>1864.5</v>
      </c>
      <c r="E61" s="24">
        <f>'2017-2018 годы ПРиложение 6'!F70</f>
        <v>1864.5</v>
      </c>
    </row>
    <row r="62" spans="1:5" ht="31.5">
      <c r="A62" s="46" t="s">
        <v>56</v>
      </c>
      <c r="B62" s="40" t="s">
        <v>315</v>
      </c>
      <c r="C62" s="72"/>
      <c r="D62" s="24">
        <f>D63</f>
        <v>5686</v>
      </c>
      <c r="E62" s="24">
        <f>E63</f>
        <v>5925.6</v>
      </c>
    </row>
    <row r="63" spans="1:5" ht="31.5">
      <c r="A63" s="65" t="s">
        <v>18</v>
      </c>
      <c r="B63" s="40" t="s">
        <v>315</v>
      </c>
      <c r="C63" s="25" t="s">
        <v>13</v>
      </c>
      <c r="D63" s="24">
        <f>'2017-2018 годы ПРиложение 6'!E72</f>
        <v>5686</v>
      </c>
      <c r="E63" s="24">
        <f>'2017-2018 годы ПРиложение 6'!F72</f>
        <v>5925.6</v>
      </c>
    </row>
    <row r="64" spans="1:5" ht="94.5">
      <c r="A64" s="46" t="s">
        <v>57</v>
      </c>
      <c r="B64" s="40" t="s">
        <v>338</v>
      </c>
      <c r="C64" s="72"/>
      <c r="D64" s="24">
        <f>D65</f>
        <v>330</v>
      </c>
      <c r="E64" s="24">
        <f>E65</f>
        <v>330</v>
      </c>
    </row>
    <row r="65" spans="1:5" ht="15.75">
      <c r="A65" s="65" t="s">
        <v>14</v>
      </c>
      <c r="B65" s="40" t="s">
        <v>338</v>
      </c>
      <c r="C65" s="25" t="s">
        <v>17</v>
      </c>
      <c r="D65" s="24">
        <f>'2017-2018 годы ПРиложение 6'!E74</f>
        <v>330</v>
      </c>
      <c r="E65" s="24">
        <f>'2017-2018 годы ПРиложение 6'!F74</f>
        <v>330</v>
      </c>
    </row>
    <row r="66" spans="1:10" ht="50.25" customHeight="1">
      <c r="A66" s="12" t="s">
        <v>92</v>
      </c>
      <c r="B66" s="13" t="s">
        <v>316</v>
      </c>
      <c r="C66" s="13" t="s">
        <v>0</v>
      </c>
      <c r="D66" s="14">
        <f>D67</f>
        <v>150</v>
      </c>
      <c r="E66" s="14">
        <f>E67</f>
        <v>150</v>
      </c>
      <c r="G66" s="155"/>
      <c r="H66" s="155"/>
      <c r="I66" s="155"/>
      <c r="J66" s="155"/>
    </row>
    <row r="67" spans="1:5" ht="31.5">
      <c r="A67" s="46" t="s">
        <v>68</v>
      </c>
      <c r="B67" s="40" t="s">
        <v>319</v>
      </c>
      <c r="C67" s="25"/>
      <c r="D67" s="24">
        <f>D68</f>
        <v>150</v>
      </c>
      <c r="E67" s="24">
        <f>E68</f>
        <v>150</v>
      </c>
    </row>
    <row r="68" spans="1:5" ht="31.5">
      <c r="A68" s="51" t="s">
        <v>18</v>
      </c>
      <c r="B68" s="40" t="s">
        <v>319</v>
      </c>
      <c r="C68" s="25" t="s">
        <v>13</v>
      </c>
      <c r="D68" s="24">
        <f>'2017-2018 годы ПРиложение 6'!E77</f>
        <v>150</v>
      </c>
      <c r="E68" s="24">
        <f>'2017-2018 годы ПРиложение 6'!F77</f>
        <v>150</v>
      </c>
    </row>
    <row r="69" spans="1:10" ht="31.5">
      <c r="A69" s="34" t="s">
        <v>447</v>
      </c>
      <c r="B69" s="35" t="s">
        <v>205</v>
      </c>
      <c r="C69" s="35" t="s">
        <v>0</v>
      </c>
      <c r="D69" s="36">
        <f>D70+D80+D89+D100</f>
        <v>993253.0999999999</v>
      </c>
      <c r="E69" s="36">
        <f>E70+E80+E89+E100</f>
        <v>992771.7999999999</v>
      </c>
      <c r="F69" s="155"/>
      <c r="G69" s="155"/>
      <c r="H69" s="155"/>
      <c r="I69" s="155"/>
      <c r="J69" s="155"/>
    </row>
    <row r="70" spans="1:10" ht="47.25">
      <c r="A70" s="12" t="s">
        <v>136</v>
      </c>
      <c r="B70" s="13" t="s">
        <v>206</v>
      </c>
      <c r="C70" s="13" t="s">
        <v>0</v>
      </c>
      <c r="D70" s="14">
        <f>D71+D73+D75+D78</f>
        <v>396391.19999999995</v>
      </c>
      <c r="E70" s="14">
        <f>E71+E73+E75+E78</f>
        <v>396313.29999999993</v>
      </c>
      <c r="G70" s="155"/>
      <c r="H70" s="155"/>
      <c r="I70" s="155"/>
      <c r="J70" s="155"/>
    </row>
    <row r="71" spans="1:5" ht="31.5">
      <c r="A71" s="16" t="s">
        <v>36</v>
      </c>
      <c r="B71" s="17" t="s">
        <v>204</v>
      </c>
      <c r="C71" s="17"/>
      <c r="D71" s="19">
        <f>D72</f>
        <v>75217.6</v>
      </c>
      <c r="E71" s="19">
        <f>E72</f>
        <v>75595.6</v>
      </c>
    </row>
    <row r="72" spans="1:5" ht="47.25">
      <c r="A72" s="47" t="s">
        <v>15</v>
      </c>
      <c r="B72" s="32" t="s">
        <v>204</v>
      </c>
      <c r="C72" s="32" t="s">
        <v>16</v>
      </c>
      <c r="D72" s="42">
        <f>'2017-2018 годы ПРиложение 6'!E230</f>
        <v>75217.6</v>
      </c>
      <c r="E72" s="42">
        <f>'2017-2018 годы ПРиложение 6'!F230</f>
        <v>75595.6</v>
      </c>
    </row>
    <row r="73" spans="1:5" ht="63">
      <c r="A73" s="47" t="s">
        <v>106</v>
      </c>
      <c r="B73" s="32" t="s">
        <v>209</v>
      </c>
      <c r="C73" s="32"/>
      <c r="D73" s="42">
        <f>D74</f>
        <v>294435.5</v>
      </c>
      <c r="E73" s="42">
        <f>E74</f>
        <v>292845.1</v>
      </c>
    </row>
    <row r="74" spans="1:5" ht="47.25">
      <c r="A74" s="47" t="s">
        <v>15</v>
      </c>
      <c r="B74" s="32" t="s">
        <v>209</v>
      </c>
      <c r="C74" s="32" t="s">
        <v>16</v>
      </c>
      <c r="D74" s="42">
        <f>'2017-2018 годы ПРиложение 6'!E232</f>
        <v>294435.5</v>
      </c>
      <c r="E74" s="42">
        <f>'2017-2018 годы ПРиложение 6'!F232</f>
        <v>292845.1</v>
      </c>
    </row>
    <row r="75" spans="1:5" ht="122.25" customHeight="1">
      <c r="A75" s="47" t="s">
        <v>105</v>
      </c>
      <c r="B75" s="32" t="s">
        <v>210</v>
      </c>
      <c r="C75" s="32"/>
      <c r="D75" s="42">
        <f>D77+D76</f>
        <v>24598.1</v>
      </c>
      <c r="E75" s="42">
        <f>E77+E76</f>
        <v>25646.600000000002</v>
      </c>
    </row>
    <row r="76" spans="1:5" ht="43.5" customHeight="1">
      <c r="A76" s="47" t="s">
        <v>38</v>
      </c>
      <c r="B76" s="32" t="s">
        <v>210</v>
      </c>
      <c r="C76" s="32" t="s">
        <v>22</v>
      </c>
      <c r="D76" s="42">
        <f>'2017-2018 годы ПРиложение 6'!E234</f>
        <v>837</v>
      </c>
      <c r="E76" s="42">
        <f>'2017-2018 годы ПРиложение 6'!F234</f>
        <v>872.7</v>
      </c>
    </row>
    <row r="77" spans="1:9" ht="60" customHeight="1">
      <c r="A77" s="47" t="s">
        <v>15</v>
      </c>
      <c r="B77" s="32" t="s">
        <v>210</v>
      </c>
      <c r="C77" s="32" t="s">
        <v>16</v>
      </c>
      <c r="D77" s="42">
        <f>'2017-2018 годы ПРиложение 6'!E235</f>
        <v>23761.1</v>
      </c>
      <c r="E77" s="42">
        <f>'2017-2018 годы ПРиложение 6'!F235</f>
        <v>24773.9</v>
      </c>
      <c r="F77" s="155"/>
      <c r="G77" s="155"/>
      <c r="H77" s="155"/>
      <c r="I77" s="155"/>
    </row>
    <row r="78" spans="1:5" ht="126">
      <c r="A78" s="65" t="s">
        <v>138</v>
      </c>
      <c r="B78" s="48" t="s">
        <v>211</v>
      </c>
      <c r="C78" s="48"/>
      <c r="D78" s="41">
        <f>D79</f>
        <v>2140</v>
      </c>
      <c r="E78" s="41">
        <f>E79</f>
        <v>2226</v>
      </c>
    </row>
    <row r="79" spans="1:5" ht="31.5">
      <c r="A79" s="46" t="s">
        <v>38</v>
      </c>
      <c r="B79" s="48" t="s">
        <v>211</v>
      </c>
      <c r="C79" s="48" t="s">
        <v>22</v>
      </c>
      <c r="D79" s="42">
        <f>'2017-2018 годы ПРиложение 6'!E237</f>
        <v>2140</v>
      </c>
      <c r="E79" s="42">
        <f>'2017-2018 годы ПРиложение 6'!F237</f>
        <v>2226</v>
      </c>
    </row>
    <row r="80" spans="1:10" ht="47.25">
      <c r="A80" s="12" t="s">
        <v>119</v>
      </c>
      <c r="B80" s="13" t="s">
        <v>212</v>
      </c>
      <c r="C80" s="13" t="s">
        <v>0</v>
      </c>
      <c r="D80" s="14">
        <f>D81+D83+D85+D87</f>
        <v>510385.29999999993</v>
      </c>
      <c r="E80" s="14">
        <f>E81+E83+E85+E87</f>
        <v>509770.1</v>
      </c>
      <c r="G80" s="155"/>
      <c r="H80" s="155"/>
      <c r="I80" s="155"/>
      <c r="J80" s="155"/>
    </row>
    <row r="81" spans="1:5" ht="31.5">
      <c r="A81" s="16" t="s">
        <v>36</v>
      </c>
      <c r="B81" s="17" t="s">
        <v>213</v>
      </c>
      <c r="C81" s="17"/>
      <c r="D81" s="19">
        <f>D82</f>
        <v>103506.6</v>
      </c>
      <c r="E81" s="19">
        <f>E82</f>
        <v>103241.5</v>
      </c>
    </row>
    <row r="82" spans="1:5" ht="47.25">
      <c r="A82" s="47" t="s">
        <v>15</v>
      </c>
      <c r="B82" s="32" t="s">
        <v>213</v>
      </c>
      <c r="C82" s="32" t="s">
        <v>16</v>
      </c>
      <c r="D82" s="42">
        <f>'2017-2018 годы ПРиложение 6'!E240</f>
        <v>103506.6</v>
      </c>
      <c r="E82" s="42">
        <f>'2017-2018 годы ПРиложение 6'!F240</f>
        <v>103241.5</v>
      </c>
    </row>
    <row r="83" spans="1:9" ht="87.75" customHeight="1">
      <c r="A83" s="47" t="s">
        <v>106</v>
      </c>
      <c r="B83" s="32" t="s">
        <v>215</v>
      </c>
      <c r="C83" s="32"/>
      <c r="D83" s="42">
        <f>D84</f>
        <v>401970.69999999995</v>
      </c>
      <c r="E83" s="42">
        <f>E84</f>
        <v>401424.3</v>
      </c>
      <c r="I83" s="204"/>
    </row>
    <row r="84" spans="1:5" ht="47.25">
      <c r="A84" s="47" t="s">
        <v>15</v>
      </c>
      <c r="B84" s="32" t="s">
        <v>215</v>
      </c>
      <c r="C84" s="32" t="s">
        <v>16</v>
      </c>
      <c r="D84" s="42">
        <f>'2017-2018 годы ПРиложение 6'!E242</f>
        <v>401970.69999999995</v>
      </c>
      <c r="E84" s="42">
        <f>'2017-2018 годы ПРиложение 6'!F242</f>
        <v>401424.3</v>
      </c>
    </row>
    <row r="85" spans="1:5" ht="78.75">
      <c r="A85" s="47" t="s">
        <v>79</v>
      </c>
      <c r="B85" s="32" t="s">
        <v>214</v>
      </c>
      <c r="C85" s="32"/>
      <c r="D85" s="42">
        <f>D86</f>
        <v>32</v>
      </c>
      <c r="E85" s="42">
        <f>E86</f>
        <v>33.3</v>
      </c>
    </row>
    <row r="86" spans="1:9" ht="47.25">
      <c r="A86" s="47" t="s">
        <v>15</v>
      </c>
      <c r="B86" s="32" t="s">
        <v>214</v>
      </c>
      <c r="C86" s="32" t="s">
        <v>16</v>
      </c>
      <c r="D86" s="42">
        <f>'2017-2018 годы ПРиложение 6'!E244</f>
        <v>32</v>
      </c>
      <c r="E86" s="42">
        <f>'2017-2018 годы ПРиложение 6'!F244</f>
        <v>33.3</v>
      </c>
      <c r="F86" s="155"/>
      <c r="G86" s="155"/>
      <c r="H86" s="155"/>
      <c r="I86" s="155"/>
    </row>
    <row r="87" spans="1:5" ht="126">
      <c r="A87" s="20" t="s">
        <v>138</v>
      </c>
      <c r="B87" s="17" t="s">
        <v>216</v>
      </c>
      <c r="C87" s="17"/>
      <c r="D87" s="19">
        <f>D88</f>
        <v>4876</v>
      </c>
      <c r="E87" s="19">
        <f>E88</f>
        <v>5071</v>
      </c>
    </row>
    <row r="88" spans="1:5" ht="31.5">
      <c r="A88" s="47" t="s">
        <v>38</v>
      </c>
      <c r="B88" s="32" t="s">
        <v>216</v>
      </c>
      <c r="C88" s="32" t="s">
        <v>22</v>
      </c>
      <c r="D88" s="42">
        <f>'2017-2018 годы ПРиложение 6'!E246</f>
        <v>4876</v>
      </c>
      <c r="E88" s="42">
        <f>'2017-2018 годы ПРиложение 6'!F246</f>
        <v>5071</v>
      </c>
    </row>
    <row r="89" spans="1:10" ht="31.5">
      <c r="A89" s="12" t="s">
        <v>448</v>
      </c>
      <c r="B89" s="13" t="s">
        <v>217</v>
      </c>
      <c r="C89" s="13" t="s">
        <v>0</v>
      </c>
      <c r="D89" s="14">
        <f>D90+D94+D96+D98+D92</f>
        <v>26812.5</v>
      </c>
      <c r="E89" s="14">
        <f>E90+E94+E96+E98+E92</f>
        <v>26837.1</v>
      </c>
      <c r="F89" s="155"/>
      <c r="G89" s="155"/>
      <c r="H89" s="155"/>
      <c r="I89" s="155"/>
      <c r="J89" s="155"/>
    </row>
    <row r="90" spans="1:5" ht="31.5">
      <c r="A90" s="16" t="s">
        <v>36</v>
      </c>
      <c r="B90" s="17" t="s">
        <v>218</v>
      </c>
      <c r="C90" s="17"/>
      <c r="D90" s="19">
        <f>D91</f>
        <v>25428.5</v>
      </c>
      <c r="E90" s="19">
        <f>E91</f>
        <v>25444.1</v>
      </c>
    </row>
    <row r="91" spans="1:5" ht="47.25">
      <c r="A91" s="47" t="s">
        <v>15</v>
      </c>
      <c r="B91" s="32" t="s">
        <v>218</v>
      </c>
      <c r="C91" s="32" t="s">
        <v>16</v>
      </c>
      <c r="D91" s="42">
        <f>'2017-2018 годы ПРиложение 6'!E249</f>
        <v>25428.5</v>
      </c>
      <c r="E91" s="42">
        <f>'2017-2018 годы ПРиложение 6'!F249</f>
        <v>25444.1</v>
      </c>
    </row>
    <row r="92" spans="1:5" ht="31.5">
      <c r="A92" s="46" t="s">
        <v>139</v>
      </c>
      <c r="B92" s="48" t="s">
        <v>228</v>
      </c>
      <c r="C92" s="48"/>
      <c r="D92" s="49">
        <f>D93</f>
        <v>1000</v>
      </c>
      <c r="E92" s="49">
        <f>E93</f>
        <v>1000</v>
      </c>
    </row>
    <row r="93" spans="1:5" ht="30.75" customHeight="1">
      <c r="A93" s="46" t="s">
        <v>38</v>
      </c>
      <c r="B93" s="48" t="s">
        <v>228</v>
      </c>
      <c r="C93" s="48" t="s">
        <v>22</v>
      </c>
      <c r="D93" s="49">
        <f>'2017-2018 годы ПРиложение 6'!E81</f>
        <v>1000</v>
      </c>
      <c r="E93" s="49">
        <f>'2017-2018 годы ПРиложение 6'!F81</f>
        <v>1000</v>
      </c>
    </row>
    <row r="94" spans="1:5" ht="126">
      <c r="A94" s="20" t="s">
        <v>138</v>
      </c>
      <c r="B94" s="17" t="s">
        <v>219</v>
      </c>
      <c r="C94" s="17"/>
      <c r="D94" s="42">
        <f>D95</f>
        <v>234</v>
      </c>
      <c r="E94" s="42">
        <f>E95</f>
        <v>243</v>
      </c>
    </row>
    <row r="95" spans="1:5" ht="31.5">
      <c r="A95" s="47" t="s">
        <v>38</v>
      </c>
      <c r="B95" s="32" t="s">
        <v>219</v>
      </c>
      <c r="C95" s="32" t="s">
        <v>22</v>
      </c>
      <c r="D95" s="42">
        <f>'2017-2018 годы ПРиложение 6'!E251</f>
        <v>234</v>
      </c>
      <c r="E95" s="42">
        <f>'2017-2018 годы ПРиложение 6'!F251</f>
        <v>243</v>
      </c>
    </row>
    <row r="96" spans="1:5" ht="47.25">
      <c r="A96" s="46" t="s">
        <v>449</v>
      </c>
      <c r="B96" s="48" t="s">
        <v>450</v>
      </c>
      <c r="C96" s="48"/>
      <c r="D96" s="49">
        <f>D97</f>
        <v>50</v>
      </c>
      <c r="E96" s="49">
        <f>E97</f>
        <v>50</v>
      </c>
    </row>
    <row r="97" spans="1:5" ht="31.5">
      <c r="A97" s="46" t="s">
        <v>18</v>
      </c>
      <c r="B97" s="48" t="s">
        <v>450</v>
      </c>
      <c r="C97" s="48" t="s">
        <v>13</v>
      </c>
      <c r="D97" s="49">
        <f>'2017-2018 годы ПРиложение 6'!E83</f>
        <v>50</v>
      </c>
      <c r="E97" s="49">
        <f>'2017-2018 годы ПРиложение 6'!F83</f>
        <v>50</v>
      </c>
    </row>
    <row r="98" spans="1:5" ht="31.5">
      <c r="A98" s="46" t="s">
        <v>179</v>
      </c>
      <c r="B98" s="48" t="s">
        <v>229</v>
      </c>
      <c r="C98" s="48"/>
      <c r="D98" s="49">
        <f>'[1]2017-2018 годы Приложение 6'!E82</f>
        <v>100</v>
      </c>
      <c r="E98" s="49">
        <f>'[1]2017-2018 годы Приложение 6'!F82</f>
        <v>100</v>
      </c>
    </row>
    <row r="99" spans="1:5" ht="31.5">
      <c r="A99" s="46" t="s">
        <v>18</v>
      </c>
      <c r="B99" s="48" t="s">
        <v>229</v>
      </c>
      <c r="C99" s="48" t="s">
        <v>13</v>
      </c>
      <c r="D99" s="49">
        <f>'2017-2018 годы ПРиложение 6'!E85</f>
        <v>100</v>
      </c>
      <c r="E99" s="49">
        <f>'2017-2018 годы ПРиложение 6'!F85</f>
        <v>100</v>
      </c>
    </row>
    <row r="100" spans="1:10" ht="31.5">
      <c r="A100" s="12" t="s">
        <v>113</v>
      </c>
      <c r="B100" s="13" t="s">
        <v>220</v>
      </c>
      <c r="C100" s="13" t="s">
        <v>0</v>
      </c>
      <c r="D100" s="14">
        <f>D101+D105</f>
        <v>59664.09999999999</v>
      </c>
      <c r="E100" s="14">
        <f>E101+E105</f>
        <v>59851.299999999996</v>
      </c>
      <c r="G100" s="155"/>
      <c r="H100" s="155"/>
      <c r="I100" s="155"/>
      <c r="J100" s="155"/>
    </row>
    <row r="101" spans="1:5" ht="47.25">
      <c r="A101" s="16" t="s">
        <v>19</v>
      </c>
      <c r="B101" s="17" t="s">
        <v>221</v>
      </c>
      <c r="C101" s="17"/>
      <c r="D101" s="19">
        <f>D102+D103+D104</f>
        <v>31470.499999999996</v>
      </c>
      <c r="E101" s="19">
        <f>E102+E103+E104</f>
        <v>31618.799999999996</v>
      </c>
    </row>
    <row r="102" spans="1:9" ht="94.5">
      <c r="A102" s="47" t="s">
        <v>20</v>
      </c>
      <c r="B102" s="32" t="s">
        <v>221</v>
      </c>
      <c r="C102" s="32" t="s">
        <v>21</v>
      </c>
      <c r="D102" s="42">
        <f>'2017-2018 годы ПРиложение 6'!E254</f>
        <v>26335.6</v>
      </c>
      <c r="E102" s="42">
        <f>'2017-2018 годы ПРиложение 6'!F254</f>
        <v>26341.8</v>
      </c>
      <c r="F102" s="155"/>
      <c r="G102" s="155"/>
      <c r="H102" s="155"/>
      <c r="I102" s="155"/>
    </row>
    <row r="103" spans="1:7" ht="30.75" customHeight="1">
      <c r="A103" s="47" t="s">
        <v>18</v>
      </c>
      <c r="B103" s="32" t="s">
        <v>221</v>
      </c>
      <c r="C103" s="32" t="s">
        <v>13</v>
      </c>
      <c r="D103" s="42">
        <f>'2017-2018 годы ПРиложение 6'!E255</f>
        <v>4974.299999999999</v>
      </c>
      <c r="E103" s="42">
        <f>'2017-2018 годы ПРиложение 6'!F255</f>
        <v>5116.4</v>
      </c>
      <c r="F103" s="31"/>
      <c r="G103" s="31"/>
    </row>
    <row r="104" spans="1:7" ht="32.25" customHeight="1">
      <c r="A104" s="90" t="s">
        <v>14</v>
      </c>
      <c r="B104" s="32" t="s">
        <v>221</v>
      </c>
      <c r="C104" s="32" t="s">
        <v>17</v>
      </c>
      <c r="D104" s="42">
        <f>'2017-2018 годы ПРиложение 6'!E256</f>
        <v>160.6</v>
      </c>
      <c r="E104" s="42">
        <f>'2017-2018 годы ПРиложение 6'!F256</f>
        <v>160.6</v>
      </c>
      <c r="F104" s="31"/>
      <c r="G104" s="31"/>
    </row>
    <row r="105" spans="1:5" ht="31.5">
      <c r="A105" s="16" t="s">
        <v>42</v>
      </c>
      <c r="B105" s="17" t="s">
        <v>222</v>
      </c>
      <c r="C105" s="17"/>
      <c r="D105" s="19">
        <f>D106+D107+D108</f>
        <v>28193.6</v>
      </c>
      <c r="E105" s="19">
        <f>E106+E107+E108</f>
        <v>28232.5</v>
      </c>
    </row>
    <row r="106" spans="1:5" ht="94.5">
      <c r="A106" s="47" t="s">
        <v>20</v>
      </c>
      <c r="B106" s="32" t="s">
        <v>222</v>
      </c>
      <c r="C106" s="32" t="s">
        <v>21</v>
      </c>
      <c r="D106" s="42">
        <f>'2017-2018 годы ПРиложение 6'!E258</f>
        <v>26643.899999999998</v>
      </c>
      <c r="E106" s="42">
        <f>'2017-2018 годы ПРиложение 6'!F258</f>
        <v>26644.5</v>
      </c>
    </row>
    <row r="107" spans="1:5" ht="31.5">
      <c r="A107" s="47" t="s">
        <v>18</v>
      </c>
      <c r="B107" s="32" t="s">
        <v>222</v>
      </c>
      <c r="C107" s="32" t="s">
        <v>13</v>
      </c>
      <c r="D107" s="42">
        <f>'2017-2018 годы ПРиложение 6'!E259</f>
        <v>1548.9</v>
      </c>
      <c r="E107" s="42">
        <f>'2017-2018 годы ПРиложение 6'!F259</f>
        <v>1587.2</v>
      </c>
    </row>
    <row r="108" spans="1:5" ht="15.75">
      <c r="A108" s="90" t="s">
        <v>14</v>
      </c>
      <c r="B108" s="32" t="s">
        <v>222</v>
      </c>
      <c r="C108" s="32" t="s">
        <v>17</v>
      </c>
      <c r="D108" s="42">
        <f>'2017-2018 годы ПРиложение 6'!E260</f>
        <v>0.8</v>
      </c>
      <c r="E108" s="42">
        <f>'2017-2018 годы ПРиложение 6'!F260</f>
        <v>0.8</v>
      </c>
    </row>
    <row r="109" spans="1:10" ht="47.25">
      <c r="A109" s="34" t="s">
        <v>122</v>
      </c>
      <c r="B109" s="35" t="s">
        <v>242</v>
      </c>
      <c r="C109" s="35" t="s">
        <v>0</v>
      </c>
      <c r="D109" s="36">
        <f>D110+D112+D114+D116+D118+D120+D122+D126</f>
        <v>122218.49999999999</v>
      </c>
      <c r="E109" s="36">
        <f>E110+E112+E114+E116+E118+E120+E122+E126</f>
        <v>122258.9</v>
      </c>
      <c r="G109" s="155"/>
      <c r="H109" s="155"/>
      <c r="I109" s="155"/>
      <c r="J109" s="155"/>
    </row>
    <row r="110" spans="1:5" ht="31.5">
      <c r="A110" s="46" t="s">
        <v>73</v>
      </c>
      <c r="B110" s="48" t="s">
        <v>241</v>
      </c>
      <c r="C110" s="48"/>
      <c r="D110" s="10">
        <f>D111</f>
        <v>27370.5</v>
      </c>
      <c r="E110" s="10">
        <f>E111</f>
        <v>27380.1</v>
      </c>
    </row>
    <row r="111" spans="1:5" ht="47.25">
      <c r="A111" s="88" t="s">
        <v>15</v>
      </c>
      <c r="B111" s="48" t="s">
        <v>241</v>
      </c>
      <c r="C111" s="48" t="s">
        <v>16</v>
      </c>
      <c r="D111" s="41">
        <f>'2017-2018 годы ПРиложение 6'!E183</f>
        <v>27370.5</v>
      </c>
      <c r="E111" s="41">
        <f>'2017-2018 годы ПРиложение 6'!F183</f>
        <v>27380.1</v>
      </c>
    </row>
    <row r="112" spans="1:5" ht="31.5">
      <c r="A112" s="46" t="s">
        <v>343</v>
      </c>
      <c r="B112" s="48" t="s">
        <v>341</v>
      </c>
      <c r="C112" s="48"/>
      <c r="D112" s="41">
        <f>D113</f>
        <v>149.4</v>
      </c>
      <c r="E112" s="41">
        <f>E113</f>
        <v>149.4</v>
      </c>
    </row>
    <row r="113" spans="1:5" ht="47.25">
      <c r="A113" s="88" t="s">
        <v>15</v>
      </c>
      <c r="B113" s="48" t="s">
        <v>341</v>
      </c>
      <c r="C113" s="48" t="s">
        <v>16</v>
      </c>
      <c r="D113" s="41">
        <f>'2017-2018 годы ПРиложение 6'!E185</f>
        <v>149.4</v>
      </c>
      <c r="E113" s="41">
        <f>'2017-2018 годы ПРиложение 6'!F185</f>
        <v>149.4</v>
      </c>
    </row>
    <row r="114" spans="1:5" ht="31.5">
      <c r="A114" s="46" t="s">
        <v>344</v>
      </c>
      <c r="B114" s="48" t="s">
        <v>342</v>
      </c>
      <c r="C114" s="48"/>
      <c r="D114" s="41">
        <f>D115</f>
        <v>100.5</v>
      </c>
      <c r="E114" s="41">
        <f>E115</f>
        <v>100.5</v>
      </c>
    </row>
    <row r="115" spans="1:5" ht="47.25">
      <c r="A115" s="88" t="s">
        <v>15</v>
      </c>
      <c r="B115" s="48" t="s">
        <v>342</v>
      </c>
      <c r="C115" s="48" t="s">
        <v>16</v>
      </c>
      <c r="D115" s="41">
        <f>'2017-2018 годы ПРиложение 6'!E187</f>
        <v>100.5</v>
      </c>
      <c r="E115" s="41">
        <f>'2017-2018 годы ПРиложение 6'!F187</f>
        <v>100.5</v>
      </c>
    </row>
    <row r="116" spans="1:5" ht="47.25">
      <c r="A116" s="46" t="s">
        <v>75</v>
      </c>
      <c r="B116" s="48" t="s">
        <v>243</v>
      </c>
      <c r="C116" s="48"/>
      <c r="D116" s="42">
        <f>D117</f>
        <v>43683.5</v>
      </c>
      <c r="E116" s="42">
        <f>E117</f>
        <v>43698.7</v>
      </c>
    </row>
    <row r="117" spans="1:5" ht="47.25">
      <c r="A117" s="88" t="s">
        <v>15</v>
      </c>
      <c r="B117" s="48" t="s">
        <v>243</v>
      </c>
      <c r="C117" s="48" t="s">
        <v>16</v>
      </c>
      <c r="D117" s="41">
        <f>'2017-2018 годы ПРиложение 6'!E189</f>
        <v>43683.5</v>
      </c>
      <c r="E117" s="41">
        <f>'2017-2018 годы ПРиложение 6'!F189</f>
        <v>43698.7</v>
      </c>
    </row>
    <row r="118" spans="1:5" ht="47.25">
      <c r="A118" s="46" t="s">
        <v>74</v>
      </c>
      <c r="B118" s="48" t="s">
        <v>244</v>
      </c>
      <c r="C118" s="48"/>
      <c r="D118" s="19">
        <f>D119</f>
        <v>21668.5</v>
      </c>
      <c r="E118" s="19">
        <f>E119</f>
        <v>21676.1</v>
      </c>
    </row>
    <row r="119" spans="1:5" ht="47.25">
      <c r="A119" s="164" t="s">
        <v>15</v>
      </c>
      <c r="B119" s="48" t="s">
        <v>244</v>
      </c>
      <c r="C119" s="48" t="s">
        <v>16</v>
      </c>
      <c r="D119" s="41">
        <f>'2017-2018 годы ПРиложение 6'!E191</f>
        <v>21668.5</v>
      </c>
      <c r="E119" s="41">
        <f>'2017-2018 годы ПРиложение 6'!F191</f>
        <v>21676.1</v>
      </c>
    </row>
    <row r="120" spans="1:5" ht="31.5">
      <c r="A120" s="46" t="s">
        <v>325</v>
      </c>
      <c r="B120" s="48" t="s">
        <v>326</v>
      </c>
      <c r="C120" s="48"/>
      <c r="D120" s="42">
        <f>D121</f>
        <v>20</v>
      </c>
      <c r="E120" s="42">
        <f>E121</f>
        <v>20</v>
      </c>
    </row>
    <row r="121" spans="1:5" ht="31.5">
      <c r="A121" s="88" t="s">
        <v>38</v>
      </c>
      <c r="B121" s="48" t="s">
        <v>326</v>
      </c>
      <c r="C121" s="48" t="s">
        <v>22</v>
      </c>
      <c r="D121" s="41">
        <f>'2017-2018 годы ПРиложение 6'!E193</f>
        <v>20</v>
      </c>
      <c r="E121" s="41">
        <f>'2017-2018 годы ПРиложение 6'!F193</f>
        <v>20</v>
      </c>
    </row>
    <row r="122" spans="1:7" ht="31.5">
      <c r="A122" s="46" t="s">
        <v>30</v>
      </c>
      <c r="B122" s="48" t="s">
        <v>245</v>
      </c>
      <c r="C122" s="48"/>
      <c r="D122" s="19">
        <f>D123+D124+D125</f>
        <v>7388.4</v>
      </c>
      <c r="E122" s="19">
        <f>E123+E124+E125</f>
        <v>7388.799999999999</v>
      </c>
      <c r="F122" s="31"/>
      <c r="G122" s="31"/>
    </row>
    <row r="123" spans="1:5" ht="94.5">
      <c r="A123" s="26" t="s">
        <v>20</v>
      </c>
      <c r="B123" s="48" t="s">
        <v>245</v>
      </c>
      <c r="C123" s="48" t="s">
        <v>21</v>
      </c>
      <c r="D123" s="41">
        <f>'2017-2018 годы ПРиложение 6'!E195</f>
        <v>6401.4</v>
      </c>
      <c r="E123" s="41">
        <f>'2017-2018 годы ПРиложение 6'!F195</f>
        <v>6401.4</v>
      </c>
    </row>
    <row r="124" spans="1:5" ht="31.5">
      <c r="A124" s="65" t="s">
        <v>18</v>
      </c>
      <c r="B124" s="48" t="s">
        <v>245</v>
      </c>
      <c r="C124" s="48" t="s">
        <v>13</v>
      </c>
      <c r="D124" s="41">
        <f>'2017-2018 годы ПРиложение 6'!E196</f>
        <v>965.5</v>
      </c>
      <c r="E124" s="41">
        <f>'2017-2018 годы ПРиложение 6'!F196</f>
        <v>965.9</v>
      </c>
    </row>
    <row r="125" spans="1:5" ht="15.75">
      <c r="A125" s="65" t="s">
        <v>14</v>
      </c>
      <c r="B125" s="48" t="s">
        <v>245</v>
      </c>
      <c r="C125" s="48" t="s">
        <v>17</v>
      </c>
      <c r="D125" s="41">
        <f>'2017-2018 годы ПРиложение 6'!E197</f>
        <v>21.5</v>
      </c>
      <c r="E125" s="41">
        <f>'2017-2018 годы ПРиложение 6'!F197</f>
        <v>21.5</v>
      </c>
    </row>
    <row r="126" spans="1:5" ht="31.5">
      <c r="A126" s="46" t="s">
        <v>72</v>
      </c>
      <c r="B126" s="48" t="s">
        <v>246</v>
      </c>
      <c r="C126" s="48"/>
      <c r="D126" s="41">
        <f>D127+D128+D129</f>
        <v>21837.7</v>
      </c>
      <c r="E126" s="41">
        <f>E127+E128+E129</f>
        <v>21845.3</v>
      </c>
    </row>
    <row r="127" spans="1:5" ht="94.5">
      <c r="A127" s="26" t="s">
        <v>20</v>
      </c>
      <c r="B127" s="48" t="s">
        <v>246</v>
      </c>
      <c r="C127" s="48" t="s">
        <v>21</v>
      </c>
      <c r="D127" s="41">
        <f>'2017-2018 годы ПРиложение 6'!E199</f>
        <v>20533.9</v>
      </c>
      <c r="E127" s="41">
        <f>'2017-2018 годы ПРиложение 6'!F199</f>
        <v>20533.9</v>
      </c>
    </row>
    <row r="128" spans="1:5" ht="31.5">
      <c r="A128" s="65" t="s">
        <v>18</v>
      </c>
      <c r="B128" s="48" t="s">
        <v>246</v>
      </c>
      <c r="C128" s="48" t="s">
        <v>13</v>
      </c>
      <c r="D128" s="41">
        <f>'2017-2018 годы ПРиложение 6'!E200</f>
        <v>1283.5</v>
      </c>
      <c r="E128" s="41">
        <f>'2017-2018 годы ПРиложение 6'!F200</f>
        <v>1291.1</v>
      </c>
    </row>
    <row r="129" spans="1:5" ht="15.75">
      <c r="A129" s="65" t="s">
        <v>14</v>
      </c>
      <c r="B129" s="48" t="s">
        <v>246</v>
      </c>
      <c r="C129" s="48" t="s">
        <v>17</v>
      </c>
      <c r="D129" s="41">
        <f>'2017-2018 годы ПРиложение 6'!E202</f>
        <v>20.3</v>
      </c>
      <c r="E129" s="41">
        <f>'2017-2018 годы ПРиложение 6'!F202</f>
        <v>20.3</v>
      </c>
    </row>
    <row r="130" spans="1:10" ht="47.25">
      <c r="A130" s="34" t="s">
        <v>80</v>
      </c>
      <c r="B130" s="35" t="s">
        <v>247</v>
      </c>
      <c r="C130" s="35" t="s">
        <v>0</v>
      </c>
      <c r="D130" s="36">
        <f>D141+D139+D137+D133+D131+D135</f>
        <v>59085.7</v>
      </c>
      <c r="E130" s="36">
        <f>E141+E139+E137+E133+E131+E135</f>
        <v>59085.7</v>
      </c>
      <c r="G130" s="155"/>
      <c r="H130" s="155"/>
      <c r="I130" s="155"/>
      <c r="J130" s="155"/>
    </row>
    <row r="131" spans="1:5" ht="15.75">
      <c r="A131" s="16" t="s">
        <v>29</v>
      </c>
      <c r="B131" s="48" t="s">
        <v>248</v>
      </c>
      <c r="C131" s="17"/>
      <c r="D131" s="19">
        <f>D132</f>
        <v>100</v>
      </c>
      <c r="E131" s="19">
        <f>E132</f>
        <v>100</v>
      </c>
    </row>
    <row r="132" spans="1:5" ht="31.5">
      <c r="A132" s="77" t="s">
        <v>18</v>
      </c>
      <c r="B132" s="48" t="s">
        <v>248</v>
      </c>
      <c r="C132" s="32" t="s">
        <v>13</v>
      </c>
      <c r="D132" s="42">
        <f>'2017-2018 годы ПРиложение 6'!E88</f>
        <v>100</v>
      </c>
      <c r="E132" s="42">
        <f>'2017-2018 годы ПРиложение 6'!F88</f>
        <v>100</v>
      </c>
    </row>
    <row r="133" spans="1:5" ht="47.25">
      <c r="A133" s="47" t="s">
        <v>81</v>
      </c>
      <c r="B133" s="48" t="s">
        <v>249</v>
      </c>
      <c r="C133" s="32"/>
      <c r="D133" s="42">
        <f>D134</f>
        <v>16000</v>
      </c>
      <c r="E133" s="42">
        <f>E134</f>
        <v>16000</v>
      </c>
    </row>
    <row r="134" spans="1:5" ht="47.25">
      <c r="A134" s="77" t="s">
        <v>15</v>
      </c>
      <c r="B134" s="48" t="s">
        <v>249</v>
      </c>
      <c r="C134" s="32" t="s">
        <v>16</v>
      </c>
      <c r="D134" s="42">
        <f>'2017-2018 годы ПРиложение 6'!E90</f>
        <v>16000</v>
      </c>
      <c r="E134" s="42">
        <f>'2017-2018 годы ПРиложение 6'!F90</f>
        <v>16000</v>
      </c>
    </row>
    <row r="135" spans="1:5" ht="63">
      <c r="A135" s="77" t="s">
        <v>82</v>
      </c>
      <c r="B135" s="48" t="s">
        <v>250</v>
      </c>
      <c r="C135" s="32"/>
      <c r="D135" s="42">
        <f>D136</f>
        <v>41000</v>
      </c>
      <c r="E135" s="42">
        <f>E136</f>
        <v>41000</v>
      </c>
    </row>
    <row r="136" spans="1:5" ht="47.25">
      <c r="A136" s="77" t="s">
        <v>15</v>
      </c>
      <c r="B136" s="48" t="s">
        <v>250</v>
      </c>
      <c r="C136" s="32" t="s">
        <v>16</v>
      </c>
      <c r="D136" s="42">
        <f>'2017-2018 годы ПРиложение 6'!E92</f>
        <v>41000</v>
      </c>
      <c r="E136" s="42">
        <f>'2017-2018 годы ПРиложение 6'!F92</f>
        <v>41000</v>
      </c>
    </row>
    <row r="137" spans="1:5" ht="31.5">
      <c r="A137" s="77" t="s">
        <v>58</v>
      </c>
      <c r="B137" s="48" t="s">
        <v>251</v>
      </c>
      <c r="C137" s="32"/>
      <c r="D137" s="42">
        <f>D138</f>
        <v>300.7</v>
      </c>
      <c r="E137" s="42">
        <f>E138</f>
        <v>300.7</v>
      </c>
    </row>
    <row r="138" spans="1:5" ht="31.5">
      <c r="A138" s="77" t="s">
        <v>18</v>
      </c>
      <c r="B138" s="48" t="s">
        <v>251</v>
      </c>
      <c r="C138" s="32" t="s">
        <v>13</v>
      </c>
      <c r="D138" s="42">
        <f>'2017-2018 годы ПРиложение 6'!E94</f>
        <v>300.7</v>
      </c>
      <c r="E138" s="42">
        <f>'2017-2018 годы ПРиложение 6'!F94</f>
        <v>300.7</v>
      </c>
    </row>
    <row r="139" spans="1:5" ht="47.25">
      <c r="A139" s="47" t="s">
        <v>59</v>
      </c>
      <c r="B139" s="48" t="s">
        <v>252</v>
      </c>
      <c r="C139" s="32"/>
      <c r="D139" s="42">
        <f>D140</f>
        <v>35</v>
      </c>
      <c r="E139" s="42">
        <f>E140</f>
        <v>35</v>
      </c>
    </row>
    <row r="140" spans="1:9" ht="31.5">
      <c r="A140" s="77" t="s">
        <v>18</v>
      </c>
      <c r="B140" s="48" t="s">
        <v>252</v>
      </c>
      <c r="C140" s="32" t="s">
        <v>13</v>
      </c>
      <c r="D140" s="42">
        <f>'2017-2018 годы ПРиложение 6'!E96</f>
        <v>35</v>
      </c>
      <c r="E140" s="42">
        <f>'2017-2018 годы ПРиложение 6'!F96</f>
        <v>35</v>
      </c>
      <c r="H140" s="31"/>
      <c r="I140" s="31"/>
    </row>
    <row r="141" spans="1:5" ht="31.5">
      <c r="A141" s="77" t="s">
        <v>60</v>
      </c>
      <c r="B141" s="48" t="s">
        <v>253</v>
      </c>
      <c r="C141" s="32"/>
      <c r="D141" s="42">
        <f>D142</f>
        <v>1650</v>
      </c>
      <c r="E141" s="42">
        <f>E142</f>
        <v>1650</v>
      </c>
    </row>
    <row r="142" spans="1:5" ht="31.5">
      <c r="A142" s="77" t="s">
        <v>18</v>
      </c>
      <c r="B142" s="48" t="s">
        <v>253</v>
      </c>
      <c r="C142" s="32" t="s">
        <v>13</v>
      </c>
      <c r="D142" s="42">
        <f>'2017-2018 годы ПРиложение 6'!E98</f>
        <v>1650</v>
      </c>
      <c r="E142" s="42">
        <f>'2017-2018 годы ПРиложение 6'!F98</f>
        <v>1650</v>
      </c>
    </row>
    <row r="143" spans="1:10" ht="47.25">
      <c r="A143" s="34" t="s">
        <v>134</v>
      </c>
      <c r="B143" s="35" t="s">
        <v>271</v>
      </c>
      <c r="C143" s="35" t="s">
        <v>0</v>
      </c>
      <c r="D143" s="36">
        <f>D144+D149+D161+D187+D198</f>
        <v>155804.09999999998</v>
      </c>
      <c r="E143" s="36">
        <f>E144+E149+E161+E187+E198</f>
        <v>156506.5</v>
      </c>
      <c r="G143" s="155"/>
      <c r="H143" s="155"/>
      <c r="I143" s="155"/>
      <c r="J143" s="155"/>
    </row>
    <row r="144" spans="1:10" ht="47.25">
      <c r="A144" s="12" t="s">
        <v>124</v>
      </c>
      <c r="B144" s="13" t="s">
        <v>272</v>
      </c>
      <c r="C144" s="13" t="s">
        <v>0</v>
      </c>
      <c r="D144" s="14">
        <f>D145</f>
        <v>19001.5</v>
      </c>
      <c r="E144" s="14">
        <f>E145</f>
        <v>19273.3</v>
      </c>
      <c r="F144" s="155"/>
      <c r="G144" s="155"/>
      <c r="H144" s="155"/>
      <c r="I144" s="155"/>
      <c r="J144" s="155"/>
    </row>
    <row r="145" spans="1:7" ht="47.25">
      <c r="A145" s="18" t="s">
        <v>19</v>
      </c>
      <c r="B145" s="17" t="s">
        <v>273</v>
      </c>
      <c r="C145" s="9"/>
      <c r="D145" s="10">
        <f>SUM(D146:D148)</f>
        <v>19001.5</v>
      </c>
      <c r="E145" s="10">
        <f>SUM(E146:E148)</f>
        <v>19273.3</v>
      </c>
      <c r="F145" s="31"/>
      <c r="G145" s="31"/>
    </row>
    <row r="146" spans="1:5" ht="94.5">
      <c r="A146" s="63" t="s">
        <v>20</v>
      </c>
      <c r="B146" s="17" t="s">
        <v>273</v>
      </c>
      <c r="C146" s="48" t="s">
        <v>21</v>
      </c>
      <c r="D146" s="24">
        <f>'2017-2018 годы ПРиложение 6'!E265</f>
        <v>17821.300000000003</v>
      </c>
      <c r="E146" s="24">
        <f>'2017-2018 годы ПРиложение 6'!F265</f>
        <v>18055.7</v>
      </c>
    </row>
    <row r="147" spans="1:5" ht="31.5">
      <c r="A147" s="51" t="s">
        <v>18</v>
      </c>
      <c r="B147" s="17" t="s">
        <v>273</v>
      </c>
      <c r="C147" s="48" t="s">
        <v>13</v>
      </c>
      <c r="D147" s="24">
        <f>'2017-2018 годы ПРиложение 6'!E266</f>
        <v>1149.6</v>
      </c>
      <c r="E147" s="24">
        <f>'2017-2018 годы ПРиложение 6'!F266</f>
        <v>1187.3</v>
      </c>
    </row>
    <row r="148" spans="1:5" ht="15.75">
      <c r="A148" s="90" t="s">
        <v>14</v>
      </c>
      <c r="B148" s="17" t="s">
        <v>273</v>
      </c>
      <c r="C148" s="48" t="s">
        <v>17</v>
      </c>
      <c r="D148" s="24">
        <f>'2017-2018 годы ПРиложение 6'!E267</f>
        <v>30.6</v>
      </c>
      <c r="E148" s="24">
        <f>'2017-2018 годы ПРиложение 6'!F267</f>
        <v>30.3</v>
      </c>
    </row>
    <row r="149" spans="1:10" ht="31.5">
      <c r="A149" s="12" t="s">
        <v>125</v>
      </c>
      <c r="B149" s="13" t="s">
        <v>274</v>
      </c>
      <c r="C149" s="13" t="s">
        <v>0</v>
      </c>
      <c r="D149" s="14">
        <f>D150+D152+D154+D158</f>
        <v>22444</v>
      </c>
      <c r="E149" s="14">
        <f>E150+E152+E154+E158</f>
        <v>22444</v>
      </c>
      <c r="G149" s="155"/>
      <c r="H149" s="155"/>
      <c r="I149" s="155"/>
      <c r="J149" s="155"/>
    </row>
    <row r="150" spans="1:5" ht="63">
      <c r="A150" s="64" t="s">
        <v>87</v>
      </c>
      <c r="B150" s="17" t="s">
        <v>275</v>
      </c>
      <c r="C150" s="25"/>
      <c r="D150" s="24">
        <f>D151</f>
        <v>3400</v>
      </c>
      <c r="E150" s="24">
        <f>E151</f>
        <v>3400</v>
      </c>
    </row>
    <row r="151" spans="1:5" ht="31.5">
      <c r="A151" s="51" t="s">
        <v>18</v>
      </c>
      <c r="B151" s="17" t="s">
        <v>275</v>
      </c>
      <c r="C151" s="48" t="s">
        <v>13</v>
      </c>
      <c r="D151" s="24">
        <f>'2017-2018 годы ПРиложение 6'!E216</f>
        <v>3400</v>
      </c>
      <c r="E151" s="24">
        <f>'2017-2018 годы ПРиложение 6'!F216</f>
        <v>3400</v>
      </c>
    </row>
    <row r="152" spans="1:5" ht="31.5">
      <c r="A152" s="64" t="s">
        <v>23</v>
      </c>
      <c r="B152" s="17" t="s">
        <v>276</v>
      </c>
      <c r="C152" s="25"/>
      <c r="D152" s="24">
        <f>D153</f>
        <v>300</v>
      </c>
      <c r="E152" s="24">
        <f>E153</f>
        <v>300</v>
      </c>
    </row>
    <row r="153" spans="1:5" ht="31.5">
      <c r="A153" s="51" t="s">
        <v>18</v>
      </c>
      <c r="B153" s="17" t="s">
        <v>276</v>
      </c>
      <c r="C153" s="48" t="s">
        <v>13</v>
      </c>
      <c r="D153" s="24">
        <f>'2017-2018 годы ПРиложение 6'!E218</f>
        <v>300</v>
      </c>
      <c r="E153" s="24">
        <f>'2017-2018 годы ПРиложение 6'!F218</f>
        <v>300</v>
      </c>
    </row>
    <row r="154" spans="1:5" ht="47.25">
      <c r="A154" s="64" t="s">
        <v>19</v>
      </c>
      <c r="B154" s="17" t="s">
        <v>277</v>
      </c>
      <c r="C154" s="25"/>
      <c r="D154" s="24">
        <f>SUM(D155:D157)</f>
        <v>14359.1</v>
      </c>
      <c r="E154" s="24">
        <f>SUM(E155:E157)</f>
        <v>14359.1</v>
      </c>
    </row>
    <row r="155" spans="1:9" ht="94.5">
      <c r="A155" s="63" t="s">
        <v>20</v>
      </c>
      <c r="B155" s="17" t="s">
        <v>277</v>
      </c>
      <c r="C155" s="48" t="s">
        <v>21</v>
      </c>
      <c r="D155" s="24">
        <f>'2017-2018 годы ПРиложение 6'!E220</f>
        <v>12354.6</v>
      </c>
      <c r="E155" s="24">
        <f>'2017-2018 годы ПРиложение 6'!F220</f>
        <v>12354.6</v>
      </c>
      <c r="F155" s="155"/>
      <c r="G155" s="155"/>
      <c r="H155" s="155"/>
      <c r="I155" s="155"/>
    </row>
    <row r="156" spans="1:7" ht="31.5">
      <c r="A156" s="51" t="s">
        <v>18</v>
      </c>
      <c r="B156" s="17" t="s">
        <v>277</v>
      </c>
      <c r="C156" s="48" t="s">
        <v>13</v>
      </c>
      <c r="D156" s="24">
        <f>'2017-2018 годы ПРиложение 6'!E221</f>
        <v>1984.5</v>
      </c>
      <c r="E156" s="24">
        <f>'2017-2018 годы ПРиложение 6'!F221</f>
        <v>1984.5</v>
      </c>
      <c r="F156" s="31"/>
      <c r="G156" s="31"/>
    </row>
    <row r="157" spans="1:7" ht="15.75">
      <c r="A157" s="51" t="s">
        <v>14</v>
      </c>
      <c r="B157" s="17" t="s">
        <v>277</v>
      </c>
      <c r="C157" s="48" t="s">
        <v>17</v>
      </c>
      <c r="D157" s="24">
        <f>'2017-2018 годы ПРиложение 6'!E222</f>
        <v>20</v>
      </c>
      <c r="E157" s="24">
        <f>'2017-2018 годы ПРиложение 6'!F222</f>
        <v>20</v>
      </c>
      <c r="F157" s="31"/>
      <c r="G157" s="31"/>
    </row>
    <row r="158" spans="1:5" ht="31.5">
      <c r="A158" s="64" t="s">
        <v>24</v>
      </c>
      <c r="B158" s="17" t="s">
        <v>278</v>
      </c>
      <c r="C158" s="25"/>
      <c r="D158" s="24">
        <f>D159+D160</f>
        <v>4384.9</v>
      </c>
      <c r="E158" s="24">
        <f>E159+E160</f>
        <v>4384.9</v>
      </c>
    </row>
    <row r="159" spans="1:5" ht="31.5">
      <c r="A159" s="51" t="s">
        <v>18</v>
      </c>
      <c r="B159" s="17" t="s">
        <v>278</v>
      </c>
      <c r="C159" s="48" t="s">
        <v>13</v>
      </c>
      <c r="D159" s="24">
        <f>'2017-2018 годы ПРиложение 6'!E224</f>
        <v>2484.9</v>
      </c>
      <c r="E159" s="24">
        <f>'2017-2018 годы ПРиложение 6'!F224</f>
        <v>2484.9</v>
      </c>
    </row>
    <row r="160" spans="1:5" ht="15.75">
      <c r="A160" s="51" t="s">
        <v>14</v>
      </c>
      <c r="B160" s="17" t="s">
        <v>278</v>
      </c>
      <c r="C160" s="48" t="s">
        <v>17</v>
      </c>
      <c r="D160" s="24">
        <f>'2017-2018 годы ПРиложение 6'!E225</f>
        <v>1900</v>
      </c>
      <c r="E160" s="24">
        <f>'2017-2018 годы ПРиложение 6'!F225</f>
        <v>1900</v>
      </c>
    </row>
    <row r="161" spans="1:10" ht="31.5">
      <c r="A161" s="12" t="s">
        <v>126</v>
      </c>
      <c r="B161" s="13" t="s">
        <v>279</v>
      </c>
      <c r="C161" s="13" t="s">
        <v>0</v>
      </c>
      <c r="D161" s="14">
        <f>D162+D169+D175+D178+D181+D184+D164+D172</f>
        <v>108223.59999999999</v>
      </c>
      <c r="E161" s="14">
        <f>E162+E169+E175+E178+E181+E184+E164+E172</f>
        <v>108654.2</v>
      </c>
      <c r="G161" s="155"/>
      <c r="H161" s="155"/>
      <c r="I161" s="155"/>
      <c r="J161" s="155"/>
    </row>
    <row r="162" spans="1:5" ht="31.5">
      <c r="A162" s="18" t="s">
        <v>25</v>
      </c>
      <c r="B162" s="17" t="s">
        <v>280</v>
      </c>
      <c r="C162" s="9"/>
      <c r="D162" s="10">
        <f>D163</f>
        <v>100</v>
      </c>
      <c r="E162" s="10">
        <f>E163</f>
        <v>100</v>
      </c>
    </row>
    <row r="163" spans="1:5" ht="31.5">
      <c r="A163" s="70" t="s">
        <v>18</v>
      </c>
      <c r="B163" s="17" t="s">
        <v>280</v>
      </c>
      <c r="C163" s="32" t="s">
        <v>13</v>
      </c>
      <c r="D163" s="41">
        <f>'2017-2018 годы ПРиложение 6'!E102</f>
        <v>100</v>
      </c>
      <c r="E163" s="41">
        <f>'2017-2018 годы ПРиложение 6'!F102</f>
        <v>100</v>
      </c>
    </row>
    <row r="164" spans="1:5" ht="47.25">
      <c r="A164" s="80" t="s">
        <v>19</v>
      </c>
      <c r="B164" s="17" t="s">
        <v>281</v>
      </c>
      <c r="C164" s="40"/>
      <c r="D164" s="41">
        <f>'[1]2017-2018 годы Приложение 6'!E101</f>
        <v>97008.4</v>
      </c>
      <c r="E164" s="41">
        <f>'[1]2017-2018 годы Приложение 6'!F101</f>
        <v>97439</v>
      </c>
    </row>
    <row r="165" spans="1:5" ht="94.5">
      <c r="A165" s="78" t="s">
        <v>20</v>
      </c>
      <c r="B165" s="17" t="s">
        <v>281</v>
      </c>
      <c r="C165" s="32" t="s">
        <v>21</v>
      </c>
      <c r="D165" s="41">
        <f>'2017-2018 годы ПРиложение 6'!E104</f>
        <v>79973.6</v>
      </c>
      <c r="E165" s="41">
        <f>'2017-2018 годы ПРиложение 6'!F104</f>
        <v>79973.6</v>
      </c>
    </row>
    <row r="166" spans="1:5" ht="31.5">
      <c r="A166" s="92" t="s">
        <v>18</v>
      </c>
      <c r="B166" s="17" t="s">
        <v>281</v>
      </c>
      <c r="C166" s="32" t="s">
        <v>13</v>
      </c>
      <c r="D166" s="41">
        <f>'2017-2018 годы ПРиложение 6'!E105</f>
        <v>8771.4</v>
      </c>
      <c r="E166" s="41">
        <f>'2017-2018 годы ПРиложение 6'!F105</f>
        <v>9202</v>
      </c>
    </row>
    <row r="167" spans="1:5" ht="31.5">
      <c r="A167" s="77" t="s">
        <v>111</v>
      </c>
      <c r="B167" s="17" t="s">
        <v>281</v>
      </c>
      <c r="C167" s="32" t="s">
        <v>22</v>
      </c>
      <c r="D167" s="41">
        <f>'2017-2018 годы ПРиложение 6'!E106</f>
        <v>7567</v>
      </c>
      <c r="E167" s="41">
        <f>'2017-2018 годы ПРиложение 6'!F106</f>
        <v>7567</v>
      </c>
    </row>
    <row r="168" spans="1:5" ht="15.75">
      <c r="A168" s="93" t="s">
        <v>14</v>
      </c>
      <c r="B168" s="17" t="s">
        <v>281</v>
      </c>
      <c r="C168" s="32" t="s">
        <v>17</v>
      </c>
      <c r="D168" s="41">
        <f>'2017-2018 годы ПРиложение 6'!E107</f>
        <v>696.4</v>
      </c>
      <c r="E168" s="41">
        <f>'2017-2018 годы ПРиложение 6'!F107</f>
        <v>696.4</v>
      </c>
    </row>
    <row r="169" spans="1:5" ht="31.5">
      <c r="A169" s="18" t="s">
        <v>83</v>
      </c>
      <c r="B169" s="17" t="s">
        <v>282</v>
      </c>
      <c r="C169" s="9"/>
      <c r="D169" s="41">
        <f>D171+D170</f>
        <v>10300</v>
      </c>
      <c r="E169" s="41">
        <f>E171+E170</f>
        <v>10300</v>
      </c>
    </row>
    <row r="170" spans="1:5" ht="94.5">
      <c r="A170" s="70" t="s">
        <v>20</v>
      </c>
      <c r="B170" s="17" t="s">
        <v>282</v>
      </c>
      <c r="C170" s="32" t="s">
        <v>21</v>
      </c>
      <c r="D170" s="41">
        <f>'2017-2018 годы ПРиложение 6'!E109</f>
        <v>8307.3</v>
      </c>
      <c r="E170" s="41">
        <f>'2017-2018 годы ПРиложение 6'!F109</f>
        <v>8307.3</v>
      </c>
    </row>
    <row r="171" spans="1:5" ht="31.5">
      <c r="A171" s="92" t="s">
        <v>18</v>
      </c>
      <c r="B171" s="17" t="s">
        <v>282</v>
      </c>
      <c r="C171" s="32" t="s">
        <v>13</v>
      </c>
      <c r="D171" s="41">
        <f>'2017-2018 годы ПРиложение 6'!E110</f>
        <v>1992.7</v>
      </c>
      <c r="E171" s="41">
        <f>'2017-2018 годы ПРиложение 6'!F110</f>
        <v>1992.7</v>
      </c>
    </row>
    <row r="172" spans="1:5" ht="145.5" customHeight="1">
      <c r="A172" s="120" t="s">
        <v>333</v>
      </c>
      <c r="B172" s="32" t="s">
        <v>348</v>
      </c>
      <c r="C172" s="32"/>
      <c r="D172" s="41">
        <f>D173+D174</f>
        <v>39</v>
      </c>
      <c r="E172" s="41">
        <f>E173+E174</f>
        <v>39</v>
      </c>
    </row>
    <row r="173" spans="1:5" ht="94.5">
      <c r="A173" s="50" t="s">
        <v>20</v>
      </c>
      <c r="B173" s="32" t="s">
        <v>348</v>
      </c>
      <c r="C173" s="32" t="s">
        <v>21</v>
      </c>
      <c r="D173" s="41">
        <f>'2017-2018 годы ПРиложение 6'!E112</f>
        <v>28</v>
      </c>
      <c r="E173" s="41">
        <f>'2017-2018 годы ПРиложение 6'!F112</f>
        <v>27.999999999999996</v>
      </c>
    </row>
    <row r="174" spans="1:5" ht="31.5">
      <c r="A174" s="117" t="s">
        <v>18</v>
      </c>
      <c r="B174" s="32" t="s">
        <v>348</v>
      </c>
      <c r="C174" s="32" t="s">
        <v>13</v>
      </c>
      <c r="D174" s="41">
        <f>'2017-2018 годы ПРиложение 6'!E113</f>
        <v>11</v>
      </c>
      <c r="E174" s="41">
        <f>'2017-2018 годы ПРиложение 6'!F113</f>
        <v>11</v>
      </c>
    </row>
    <row r="175" spans="1:5" ht="236.25">
      <c r="A175" s="43" t="s">
        <v>335</v>
      </c>
      <c r="B175" s="32" t="s">
        <v>291</v>
      </c>
      <c r="C175" s="40"/>
      <c r="D175" s="41">
        <f>'[1]2017-2018 годы Приложение 6'!E112</f>
        <v>86.1</v>
      </c>
      <c r="E175" s="41">
        <f>'[1]2017-2018 годы Приложение 6'!F112</f>
        <v>86.1</v>
      </c>
    </row>
    <row r="176" spans="1:5" ht="94.5">
      <c r="A176" s="79" t="s">
        <v>20</v>
      </c>
      <c r="B176" s="32" t="s">
        <v>291</v>
      </c>
      <c r="C176" s="32" t="s">
        <v>21</v>
      </c>
      <c r="D176" s="41">
        <f>'2017-2018 годы ПРиложение 6'!E115</f>
        <v>83.8</v>
      </c>
      <c r="E176" s="41">
        <f>'2017-2018 годы ПРиложение 6'!F115</f>
        <v>83.8</v>
      </c>
    </row>
    <row r="177" spans="1:5" ht="31.5">
      <c r="A177" s="92" t="s">
        <v>18</v>
      </c>
      <c r="B177" s="32" t="s">
        <v>291</v>
      </c>
      <c r="C177" s="32" t="s">
        <v>13</v>
      </c>
      <c r="D177" s="255">
        <f>'2017-2018 годы ПРиложение 6'!E116</f>
        <v>2.3</v>
      </c>
      <c r="E177" s="255">
        <f>'2017-2018 годы ПРиложение 6'!F116</f>
        <v>2.3</v>
      </c>
    </row>
    <row r="178" spans="1:5" ht="110.25">
      <c r="A178" s="44" t="s">
        <v>381</v>
      </c>
      <c r="B178" s="32" t="s">
        <v>292</v>
      </c>
      <c r="C178" s="40"/>
      <c r="D178" s="41">
        <f>'[1]2017-2018 годы Приложение 6'!E115</f>
        <v>58.9</v>
      </c>
      <c r="E178" s="41">
        <f>'[1]2017-2018 годы Приложение 6'!F115</f>
        <v>58.9</v>
      </c>
    </row>
    <row r="179" spans="1:5" ht="94.5">
      <c r="A179" s="79" t="s">
        <v>20</v>
      </c>
      <c r="B179" s="32" t="s">
        <v>292</v>
      </c>
      <c r="C179" s="32" t="s">
        <v>21</v>
      </c>
      <c r="D179" s="41">
        <f>'2017-2018 годы ПРиложение 6'!E118</f>
        <v>55.9</v>
      </c>
      <c r="E179" s="41">
        <f>'2017-2018 годы ПРиложение 6'!F118</f>
        <v>55.9</v>
      </c>
    </row>
    <row r="180" spans="1:5" ht="31.5">
      <c r="A180" s="92" t="s">
        <v>18</v>
      </c>
      <c r="B180" s="32" t="s">
        <v>292</v>
      </c>
      <c r="C180" s="32" t="s">
        <v>13</v>
      </c>
      <c r="D180" s="41">
        <f>'2017-2018 годы ПРиложение 6'!E119</f>
        <v>3</v>
      </c>
      <c r="E180" s="41">
        <f>'2017-2018 годы ПРиложение 6'!F119</f>
        <v>3</v>
      </c>
    </row>
    <row r="181" spans="1:5" ht="195">
      <c r="A181" s="45" t="s">
        <v>334</v>
      </c>
      <c r="B181" s="48" t="s">
        <v>293</v>
      </c>
      <c r="C181" s="40"/>
      <c r="D181" s="41">
        <f>D182+D183</f>
        <v>572.3</v>
      </c>
      <c r="E181" s="41">
        <f>E182+E183</f>
        <v>572.3</v>
      </c>
    </row>
    <row r="182" spans="1:9" ht="94.5">
      <c r="A182" s="79" t="s">
        <v>20</v>
      </c>
      <c r="B182" s="48" t="s">
        <v>293</v>
      </c>
      <c r="C182" s="32" t="s">
        <v>21</v>
      </c>
      <c r="D182" s="41">
        <f>'2017-2018 годы ПРиложение 6'!E121</f>
        <v>559.3</v>
      </c>
      <c r="E182" s="41">
        <f>'2017-2018 годы ПРиложение 6'!F121</f>
        <v>559.3</v>
      </c>
      <c r="F182" s="155"/>
      <c r="G182" s="155"/>
      <c r="H182" s="155"/>
      <c r="I182" s="155"/>
    </row>
    <row r="183" spans="1:7" ht="31.5">
      <c r="A183" s="92" t="s">
        <v>18</v>
      </c>
      <c r="B183" s="48" t="s">
        <v>293</v>
      </c>
      <c r="C183" s="32" t="s">
        <v>13</v>
      </c>
      <c r="D183" s="41">
        <f>'2017-2018 годы ПРиложение 6'!E122</f>
        <v>13</v>
      </c>
      <c r="E183" s="41">
        <f>'2017-2018 годы ПРиложение 6'!F122</f>
        <v>13</v>
      </c>
      <c r="F183" s="31"/>
      <c r="G183" s="31"/>
    </row>
    <row r="184" spans="1:5" ht="78.75">
      <c r="A184" s="27" t="s">
        <v>380</v>
      </c>
      <c r="B184" s="32" t="s">
        <v>294</v>
      </c>
      <c r="C184" s="40"/>
      <c r="D184" s="41">
        <f>'[1]2017-2018 годы Приложение 6'!E121</f>
        <v>58.9</v>
      </c>
      <c r="E184" s="41">
        <f>'[1]2017-2018 годы Приложение 6'!F121</f>
        <v>58.9</v>
      </c>
    </row>
    <row r="185" spans="1:5" ht="94.5">
      <c r="A185" s="79" t="s">
        <v>20</v>
      </c>
      <c r="B185" s="32" t="s">
        <v>294</v>
      </c>
      <c r="C185" s="32" t="s">
        <v>21</v>
      </c>
      <c r="D185" s="41">
        <f>'2017-2018 годы ПРиложение 6'!E124</f>
        <v>55.9</v>
      </c>
      <c r="E185" s="41">
        <f>'2017-2018 годы ПРиложение 6'!F124</f>
        <v>55.9</v>
      </c>
    </row>
    <row r="186" spans="1:5" ht="31.5">
      <c r="A186" s="92" t="s">
        <v>18</v>
      </c>
      <c r="B186" s="32" t="s">
        <v>294</v>
      </c>
      <c r="C186" s="32" t="s">
        <v>13</v>
      </c>
      <c r="D186" s="41">
        <f>'2017-2018 годы ПРиложение 6'!E125</f>
        <v>3</v>
      </c>
      <c r="E186" s="41">
        <f>'2017-2018 годы ПРиложение 6'!F125</f>
        <v>3</v>
      </c>
    </row>
    <row r="187" spans="1:10" ht="31.5">
      <c r="A187" s="12" t="s">
        <v>115</v>
      </c>
      <c r="B187" s="13" t="s">
        <v>284</v>
      </c>
      <c r="C187" s="13" t="s">
        <v>0</v>
      </c>
      <c r="D187" s="14">
        <f>D188+D190+D192+D194+D196</f>
        <v>6130</v>
      </c>
      <c r="E187" s="14">
        <f>E188+E190+E192+E194+E196</f>
        <v>6130</v>
      </c>
      <c r="G187" s="155"/>
      <c r="H187" s="155"/>
      <c r="I187" s="155"/>
      <c r="J187" s="155"/>
    </row>
    <row r="188" spans="1:5" ht="49.5" customHeight="1">
      <c r="A188" s="18" t="s">
        <v>26</v>
      </c>
      <c r="B188" s="17" t="s">
        <v>285</v>
      </c>
      <c r="C188" s="9"/>
      <c r="D188" s="10">
        <f>D189</f>
        <v>30</v>
      </c>
      <c r="E188" s="10">
        <f>E189</f>
        <v>30</v>
      </c>
    </row>
    <row r="189" spans="1:9" ht="31.5">
      <c r="A189" s="70" t="s">
        <v>18</v>
      </c>
      <c r="B189" s="17" t="s">
        <v>285</v>
      </c>
      <c r="C189" s="32" t="s">
        <v>13</v>
      </c>
      <c r="D189" s="41">
        <f>'2017-2018 годы ПРиложение 6'!E128</f>
        <v>30</v>
      </c>
      <c r="E189" s="41">
        <f>'2017-2018 годы ПРиложение 6'!F128</f>
        <v>30</v>
      </c>
      <c r="F189" s="155"/>
      <c r="G189" s="155"/>
      <c r="H189" s="155"/>
      <c r="I189" s="155"/>
    </row>
    <row r="190" spans="1:7" ht="31.5">
      <c r="A190" s="80" t="s">
        <v>451</v>
      </c>
      <c r="B190" s="32" t="s">
        <v>452</v>
      </c>
      <c r="C190" s="40"/>
      <c r="D190" s="41">
        <f>D191</f>
        <v>300</v>
      </c>
      <c r="E190" s="41">
        <f>E191</f>
        <v>300</v>
      </c>
      <c r="F190" s="31"/>
      <c r="G190" s="31"/>
    </row>
    <row r="191" spans="1:5" ht="31.5">
      <c r="A191" s="70" t="s">
        <v>18</v>
      </c>
      <c r="B191" s="32" t="s">
        <v>452</v>
      </c>
      <c r="C191" s="32" t="s">
        <v>13</v>
      </c>
      <c r="D191" s="41">
        <f>'2017-2018 годы ПРиложение 6'!E130</f>
        <v>300</v>
      </c>
      <c r="E191" s="41">
        <f>'2017-2018 годы ПРиложение 6'!F130</f>
        <v>300</v>
      </c>
    </row>
    <row r="192" spans="1:5" ht="78.75">
      <c r="A192" s="80" t="s">
        <v>27</v>
      </c>
      <c r="B192" s="32" t="s">
        <v>286</v>
      </c>
      <c r="C192" s="40"/>
      <c r="D192" s="41">
        <f>D193</f>
        <v>5400</v>
      </c>
      <c r="E192" s="41">
        <f>E193</f>
        <v>5400</v>
      </c>
    </row>
    <row r="193" spans="1:5" ht="47.25">
      <c r="A193" s="77" t="s">
        <v>15</v>
      </c>
      <c r="B193" s="32" t="s">
        <v>286</v>
      </c>
      <c r="C193" s="32" t="s">
        <v>16</v>
      </c>
      <c r="D193" s="41">
        <f>'2017-2018 годы ПРиложение 6'!E132</f>
        <v>5400</v>
      </c>
      <c r="E193" s="41">
        <f>'2017-2018 годы ПРиложение 6'!F132</f>
        <v>5400</v>
      </c>
    </row>
    <row r="194" spans="1:9" ht="94.5">
      <c r="A194" s="18" t="s">
        <v>28</v>
      </c>
      <c r="B194" s="17" t="s">
        <v>287</v>
      </c>
      <c r="C194" s="9"/>
      <c r="D194" s="10">
        <f>D195</f>
        <v>200</v>
      </c>
      <c r="E194" s="10">
        <f>E195</f>
        <v>200</v>
      </c>
      <c r="H194" s="31"/>
      <c r="I194" s="31"/>
    </row>
    <row r="195" spans="1:9" ht="31.5">
      <c r="A195" s="70" t="s">
        <v>18</v>
      </c>
      <c r="B195" s="17" t="s">
        <v>287</v>
      </c>
      <c r="C195" s="32" t="s">
        <v>13</v>
      </c>
      <c r="D195" s="41">
        <f>'2017-2018 годы ПРиложение 6'!E134</f>
        <v>200</v>
      </c>
      <c r="E195" s="41">
        <f>'2017-2018 годы ПРиложение 6'!F134</f>
        <v>200</v>
      </c>
      <c r="F195" s="155"/>
      <c r="G195" s="155"/>
      <c r="H195" s="155"/>
      <c r="I195" s="155"/>
    </row>
    <row r="196" spans="1:5" ht="31.5">
      <c r="A196" s="81" t="s">
        <v>100</v>
      </c>
      <c r="B196" s="32" t="s">
        <v>288</v>
      </c>
      <c r="C196" s="40"/>
      <c r="D196" s="41">
        <f>D197</f>
        <v>200</v>
      </c>
      <c r="E196" s="41">
        <f>E197</f>
        <v>200</v>
      </c>
    </row>
    <row r="197" spans="1:5" ht="31.5">
      <c r="A197" s="70" t="s">
        <v>18</v>
      </c>
      <c r="B197" s="32" t="s">
        <v>288</v>
      </c>
      <c r="C197" s="32" t="s">
        <v>13</v>
      </c>
      <c r="D197" s="41">
        <f>'2017-2018 годы ПРиложение 6'!E136</f>
        <v>200</v>
      </c>
      <c r="E197" s="41">
        <f>'2017-2018 годы ПРиложение 6'!F136</f>
        <v>200</v>
      </c>
    </row>
    <row r="198" spans="1:10" ht="31.5">
      <c r="A198" s="12" t="s">
        <v>127</v>
      </c>
      <c r="B198" s="13" t="s">
        <v>289</v>
      </c>
      <c r="C198" s="13" t="s">
        <v>0</v>
      </c>
      <c r="D198" s="14">
        <f>D199</f>
        <v>5</v>
      </c>
      <c r="E198" s="14">
        <f>E199</f>
        <v>5</v>
      </c>
      <c r="G198" s="155"/>
      <c r="H198" s="155"/>
      <c r="I198" s="155"/>
      <c r="J198" s="155"/>
    </row>
    <row r="199" spans="1:7" ht="47.25">
      <c r="A199" s="80" t="s">
        <v>137</v>
      </c>
      <c r="B199" s="17" t="s">
        <v>290</v>
      </c>
      <c r="C199" s="40"/>
      <c r="D199" s="41">
        <f>D200</f>
        <v>5</v>
      </c>
      <c r="E199" s="41">
        <f>E200</f>
        <v>5</v>
      </c>
      <c r="F199" s="31"/>
      <c r="G199" s="31"/>
    </row>
    <row r="200" spans="1:5" ht="31.5">
      <c r="A200" s="70" t="s">
        <v>18</v>
      </c>
      <c r="B200" s="17" t="s">
        <v>290</v>
      </c>
      <c r="C200" s="32" t="s">
        <v>13</v>
      </c>
      <c r="D200" s="41">
        <f>'2017-2018 годы ПРиложение 6'!E139</f>
        <v>5</v>
      </c>
      <c r="E200" s="41">
        <f>'2017-2018 годы ПРиложение 6'!F139</f>
        <v>5</v>
      </c>
    </row>
    <row r="201" spans="1:10" ht="47.25">
      <c r="A201" s="34" t="s">
        <v>128</v>
      </c>
      <c r="B201" s="35" t="s">
        <v>234</v>
      </c>
      <c r="C201" s="35" t="s">
        <v>0</v>
      </c>
      <c r="D201" s="36">
        <f>D202+D205+D209</f>
        <v>12680</v>
      </c>
      <c r="E201" s="36">
        <f>E202+E205+E209</f>
        <v>12685</v>
      </c>
      <c r="G201" s="155"/>
      <c r="H201" s="155"/>
      <c r="I201" s="155"/>
      <c r="J201" s="155"/>
    </row>
    <row r="202" spans="1:10" ht="31.5">
      <c r="A202" s="12" t="s">
        <v>129</v>
      </c>
      <c r="B202" s="13" t="s">
        <v>254</v>
      </c>
      <c r="C202" s="13" t="s">
        <v>0</v>
      </c>
      <c r="D202" s="14">
        <f>D203</f>
        <v>30</v>
      </c>
      <c r="E202" s="14">
        <f>E203</f>
        <v>30</v>
      </c>
      <c r="G202" s="155"/>
      <c r="H202" s="155"/>
      <c r="I202" s="155"/>
      <c r="J202" s="155"/>
    </row>
    <row r="203" spans="1:5" ht="47.25">
      <c r="A203" s="47" t="s">
        <v>47</v>
      </c>
      <c r="B203" s="40" t="s">
        <v>256</v>
      </c>
      <c r="C203" s="83"/>
      <c r="D203" s="82">
        <f>D204</f>
        <v>30</v>
      </c>
      <c r="E203" s="82">
        <f>E204</f>
        <v>30</v>
      </c>
    </row>
    <row r="204" spans="1:5" ht="31.5">
      <c r="A204" s="47" t="s">
        <v>18</v>
      </c>
      <c r="B204" s="40" t="s">
        <v>256</v>
      </c>
      <c r="C204" s="32" t="s">
        <v>13</v>
      </c>
      <c r="D204" s="41">
        <f>'2017-2018 годы ПРиложение 6'!E143</f>
        <v>30</v>
      </c>
      <c r="E204" s="41">
        <f>'2017-2018 годы ПРиложение 6'!F143</f>
        <v>30</v>
      </c>
    </row>
    <row r="205" spans="1:10" ht="48.75" customHeight="1">
      <c r="A205" s="12" t="s">
        <v>453</v>
      </c>
      <c r="B205" s="13" t="s">
        <v>257</v>
      </c>
      <c r="C205" s="13" t="s">
        <v>0</v>
      </c>
      <c r="D205" s="14">
        <f>D206</f>
        <v>12385</v>
      </c>
      <c r="E205" s="14">
        <f>E206</f>
        <v>12385</v>
      </c>
      <c r="G205" s="155"/>
      <c r="H205" s="155"/>
      <c r="I205" s="155"/>
      <c r="J205" s="155"/>
    </row>
    <row r="206" spans="1:9" ht="15.75">
      <c r="A206" s="47" t="s">
        <v>104</v>
      </c>
      <c r="B206" s="40" t="s">
        <v>258</v>
      </c>
      <c r="C206" s="83"/>
      <c r="D206" s="41">
        <f>D208+D207</f>
        <v>12385</v>
      </c>
      <c r="E206" s="41">
        <f>E208+E207</f>
        <v>12385</v>
      </c>
      <c r="F206" s="155"/>
      <c r="G206" s="155"/>
      <c r="H206" s="155"/>
      <c r="I206" s="155"/>
    </row>
    <row r="207" spans="1:5" ht="94.5">
      <c r="A207" s="77" t="s">
        <v>20</v>
      </c>
      <c r="B207" s="40" t="s">
        <v>258</v>
      </c>
      <c r="C207" s="32" t="s">
        <v>21</v>
      </c>
      <c r="D207" s="41">
        <f>'2017-2018 годы ПРиложение 6'!E146</f>
        <v>11329.7</v>
      </c>
      <c r="E207" s="41">
        <f>'2017-2018 годы ПРиложение 6'!F146</f>
        <v>11329.7</v>
      </c>
    </row>
    <row r="208" spans="1:5" ht="31.5">
      <c r="A208" s="47" t="s">
        <v>18</v>
      </c>
      <c r="B208" s="40" t="s">
        <v>258</v>
      </c>
      <c r="C208" s="32" t="s">
        <v>13</v>
      </c>
      <c r="D208" s="41">
        <f>'2017-2018 годы ПРиложение 6'!E147</f>
        <v>1055.3</v>
      </c>
      <c r="E208" s="41">
        <f>'2017-2018 годы ПРиложение 6'!F147</f>
        <v>1055.3</v>
      </c>
    </row>
    <row r="209" spans="1:10" ht="31.5">
      <c r="A209" s="28" t="s">
        <v>172</v>
      </c>
      <c r="B209" s="13" t="s">
        <v>262</v>
      </c>
      <c r="C209" s="13"/>
      <c r="D209" s="14">
        <f>D210+D212+D214</f>
        <v>265</v>
      </c>
      <c r="E209" s="14">
        <f>E210+E212+E214</f>
        <v>270</v>
      </c>
      <c r="G209" s="155"/>
      <c r="H209" s="155"/>
      <c r="I209" s="155"/>
      <c r="J209" s="155"/>
    </row>
    <row r="210" spans="1:5" ht="94.5">
      <c r="A210" s="46" t="s">
        <v>173</v>
      </c>
      <c r="B210" s="40" t="s">
        <v>263</v>
      </c>
      <c r="C210" s="40"/>
      <c r="D210" s="41">
        <f>D211</f>
        <v>80</v>
      </c>
      <c r="E210" s="41">
        <f>E211</f>
        <v>80</v>
      </c>
    </row>
    <row r="211" spans="1:5" ht="31.5">
      <c r="A211" s="47" t="s">
        <v>18</v>
      </c>
      <c r="B211" s="40" t="s">
        <v>263</v>
      </c>
      <c r="C211" s="40" t="s">
        <v>13</v>
      </c>
      <c r="D211" s="41">
        <f>'2017-2018 годы ПРиложение 6'!E150</f>
        <v>80</v>
      </c>
      <c r="E211" s="41">
        <f>'2017-2018 годы ПРиложение 6'!F150</f>
        <v>80</v>
      </c>
    </row>
    <row r="212" spans="1:5" ht="94.5">
      <c r="A212" s="46" t="s">
        <v>174</v>
      </c>
      <c r="B212" s="40" t="s">
        <v>264</v>
      </c>
      <c r="C212" s="40"/>
      <c r="D212" s="41">
        <f>D213</f>
        <v>105</v>
      </c>
      <c r="E212" s="41">
        <f>E213</f>
        <v>110</v>
      </c>
    </row>
    <row r="213" spans="1:9" ht="31.5">
      <c r="A213" s="47" t="s">
        <v>18</v>
      </c>
      <c r="B213" s="40" t="s">
        <v>264</v>
      </c>
      <c r="C213" s="40" t="s">
        <v>13</v>
      </c>
      <c r="D213" s="41">
        <f>'2017-2018 годы ПРиложение 6'!E152</f>
        <v>105</v>
      </c>
      <c r="E213" s="41">
        <f>'2017-2018 годы ПРиложение 6'!F152</f>
        <v>110</v>
      </c>
      <c r="F213" s="155"/>
      <c r="G213" s="155"/>
      <c r="H213" s="155"/>
      <c r="I213" s="155"/>
    </row>
    <row r="214" spans="1:5" ht="63">
      <c r="A214" s="46" t="s">
        <v>175</v>
      </c>
      <c r="B214" s="40" t="s">
        <v>265</v>
      </c>
      <c r="C214" s="40"/>
      <c r="D214" s="41">
        <f>D215</f>
        <v>80</v>
      </c>
      <c r="E214" s="41">
        <f>E215</f>
        <v>80</v>
      </c>
    </row>
    <row r="215" spans="1:5" ht="31.5">
      <c r="A215" s="46" t="s">
        <v>18</v>
      </c>
      <c r="B215" s="40" t="s">
        <v>265</v>
      </c>
      <c r="C215" s="40" t="s">
        <v>13</v>
      </c>
      <c r="D215" s="41">
        <f>'2017-2018 годы ПРиложение 6'!E154</f>
        <v>80</v>
      </c>
      <c r="E215" s="41">
        <f>'2017-2018 годы ПРиложение 6'!F154</f>
        <v>80</v>
      </c>
    </row>
    <row r="216" spans="1:10" ht="31.5">
      <c r="A216" s="34" t="s">
        <v>130</v>
      </c>
      <c r="B216" s="35" t="s">
        <v>295</v>
      </c>
      <c r="C216" s="35" t="s">
        <v>0</v>
      </c>
      <c r="D216" s="36">
        <f>D217+D222+D229</f>
        <v>18908.6</v>
      </c>
      <c r="E216" s="36">
        <f>E217+E222+E229</f>
        <v>14263.3</v>
      </c>
      <c r="G216" s="155"/>
      <c r="H216" s="155"/>
      <c r="I216" s="155"/>
      <c r="J216" s="155"/>
    </row>
    <row r="217" spans="1:10" ht="31.5">
      <c r="A217" s="12" t="s">
        <v>131</v>
      </c>
      <c r="B217" s="13" t="s">
        <v>296</v>
      </c>
      <c r="C217" s="13" t="s">
        <v>0</v>
      </c>
      <c r="D217" s="14">
        <f>D218+D220</f>
        <v>50</v>
      </c>
      <c r="E217" s="14">
        <f>E218+E220</f>
        <v>50</v>
      </c>
      <c r="F217" s="155"/>
      <c r="G217" s="155"/>
      <c r="H217" s="155"/>
      <c r="I217" s="155"/>
      <c r="J217" s="155"/>
    </row>
    <row r="218" spans="1:7" ht="78.75">
      <c r="A218" s="16" t="s">
        <v>85</v>
      </c>
      <c r="B218" s="17" t="s">
        <v>297</v>
      </c>
      <c r="C218" s="9"/>
      <c r="D218" s="10">
        <f>D219</f>
        <v>17</v>
      </c>
      <c r="E218" s="10">
        <f>E219</f>
        <v>17</v>
      </c>
      <c r="F218" s="31"/>
      <c r="G218" s="31"/>
    </row>
    <row r="219" spans="1:6" ht="31.5">
      <c r="A219" s="47" t="s">
        <v>18</v>
      </c>
      <c r="B219" s="17" t="s">
        <v>297</v>
      </c>
      <c r="C219" s="32" t="s">
        <v>13</v>
      </c>
      <c r="D219" s="41">
        <f>'2017-2018 годы ПРиложение 6'!E158</f>
        <v>17</v>
      </c>
      <c r="E219" s="41">
        <f>'2017-2018 годы ПРиложение 6'!F158</f>
        <v>17</v>
      </c>
      <c r="F219" s="256"/>
    </row>
    <row r="220" spans="1:5" ht="31.5">
      <c r="A220" s="47" t="s">
        <v>86</v>
      </c>
      <c r="B220" s="17" t="s">
        <v>298</v>
      </c>
      <c r="C220" s="32"/>
      <c r="D220" s="42">
        <f>D221</f>
        <v>33</v>
      </c>
      <c r="E220" s="42">
        <f>E221</f>
        <v>33</v>
      </c>
    </row>
    <row r="221" spans="1:5" ht="31.5">
      <c r="A221" s="47" t="s">
        <v>18</v>
      </c>
      <c r="B221" s="17" t="s">
        <v>298</v>
      </c>
      <c r="C221" s="32" t="s">
        <v>13</v>
      </c>
      <c r="D221" s="41">
        <f>'2017-2018 годы ПРиложение 6'!E160</f>
        <v>33</v>
      </c>
      <c r="E221" s="41">
        <f>'2017-2018 годы ПРиложение 6'!F160</f>
        <v>33</v>
      </c>
    </row>
    <row r="222" spans="1:10" ht="78.75">
      <c r="A222" s="12" t="s">
        <v>454</v>
      </c>
      <c r="B222" s="13" t="s">
        <v>237</v>
      </c>
      <c r="C222" s="13" t="s">
        <v>0</v>
      </c>
      <c r="D222" s="14">
        <f>D223+D225+D227</f>
        <v>18758.6</v>
      </c>
      <c r="E222" s="14">
        <f>E223+E225+E227</f>
        <v>14113.3</v>
      </c>
      <c r="G222" s="155"/>
      <c r="H222" s="155"/>
      <c r="I222" s="155"/>
      <c r="J222" s="155"/>
    </row>
    <row r="223" spans="1:5" ht="142.5" customHeight="1">
      <c r="A223" s="205" t="s">
        <v>108</v>
      </c>
      <c r="B223" s="17" t="s">
        <v>304</v>
      </c>
      <c r="C223" s="17"/>
      <c r="D223" s="19">
        <f>D224</f>
        <v>16149.3</v>
      </c>
      <c r="E223" s="19">
        <f>E224</f>
        <v>11503.9</v>
      </c>
    </row>
    <row r="224" spans="1:5" ht="47.25">
      <c r="A224" s="26" t="s">
        <v>40</v>
      </c>
      <c r="B224" s="48" t="s">
        <v>304</v>
      </c>
      <c r="C224" s="32" t="s">
        <v>35</v>
      </c>
      <c r="D224" s="41">
        <f>'2017-2018 годы ПРиложение 6'!E163</f>
        <v>16149.3</v>
      </c>
      <c r="E224" s="41">
        <f>'2017-2018 годы ПРиложение 6'!F163</f>
        <v>11503.9</v>
      </c>
    </row>
    <row r="225" spans="1:5" ht="94.5">
      <c r="A225" s="26" t="s">
        <v>110</v>
      </c>
      <c r="B225" s="17" t="s">
        <v>303</v>
      </c>
      <c r="C225" s="17"/>
      <c r="D225" s="19">
        <f>D226</f>
        <v>2109.3</v>
      </c>
      <c r="E225" s="19">
        <f>E226</f>
        <v>2109.4</v>
      </c>
    </row>
    <row r="226" spans="1:5" ht="31.5">
      <c r="A226" s="26" t="s">
        <v>38</v>
      </c>
      <c r="B226" s="17" t="s">
        <v>303</v>
      </c>
      <c r="C226" s="48" t="s">
        <v>22</v>
      </c>
      <c r="D226" s="41">
        <f>'2017-2018 годы ПРиложение 6'!E165</f>
        <v>2109.3</v>
      </c>
      <c r="E226" s="41">
        <f>'2017-2018 годы ПРиложение 6'!F165</f>
        <v>2109.4</v>
      </c>
    </row>
    <row r="227" spans="1:5" ht="47.25">
      <c r="A227" s="26" t="s">
        <v>52</v>
      </c>
      <c r="B227" s="17" t="s">
        <v>455</v>
      </c>
      <c r="C227" s="48"/>
      <c r="D227" s="19">
        <f>D228</f>
        <v>500</v>
      </c>
      <c r="E227" s="19">
        <f>E228</f>
        <v>500</v>
      </c>
    </row>
    <row r="228" spans="1:5" ht="31.5">
      <c r="A228" s="26" t="s">
        <v>38</v>
      </c>
      <c r="B228" s="17" t="s">
        <v>455</v>
      </c>
      <c r="C228" s="48" t="s">
        <v>22</v>
      </c>
      <c r="D228" s="41">
        <f>'2017-2018 годы ПРиложение 6'!E167</f>
        <v>500</v>
      </c>
      <c r="E228" s="41">
        <f>'2017-2018 годы ПРиложение 6'!F167</f>
        <v>500</v>
      </c>
    </row>
    <row r="229" spans="1:10" ht="31.5">
      <c r="A229" s="12" t="s">
        <v>133</v>
      </c>
      <c r="B229" s="13" t="s">
        <v>300</v>
      </c>
      <c r="C229" s="13" t="s">
        <v>0</v>
      </c>
      <c r="D229" s="14">
        <f>D230+D232</f>
        <v>100</v>
      </c>
      <c r="E229" s="14">
        <f>E230+E232</f>
        <v>100</v>
      </c>
      <c r="G229" s="155"/>
      <c r="H229" s="155"/>
      <c r="I229" s="155"/>
      <c r="J229" s="155"/>
    </row>
    <row r="230" spans="1:5" ht="47.25">
      <c r="A230" s="16" t="s">
        <v>53</v>
      </c>
      <c r="B230" s="17" t="s">
        <v>301</v>
      </c>
      <c r="C230" s="17"/>
      <c r="D230" s="19">
        <f>D231</f>
        <v>80</v>
      </c>
      <c r="E230" s="19">
        <f>E231</f>
        <v>80</v>
      </c>
    </row>
    <row r="231" spans="1:5" ht="47.25">
      <c r="A231" s="77" t="s">
        <v>15</v>
      </c>
      <c r="B231" s="17" t="s">
        <v>301</v>
      </c>
      <c r="C231" s="32" t="s">
        <v>16</v>
      </c>
      <c r="D231" s="41">
        <f>'2017-2018 годы ПРиложение 6'!E170</f>
        <v>80</v>
      </c>
      <c r="E231" s="41">
        <f>'2017-2018 годы ПРиложение 6'!F170</f>
        <v>80</v>
      </c>
    </row>
    <row r="232" spans="1:8" ht="47.25">
      <c r="A232" s="47" t="s">
        <v>456</v>
      </c>
      <c r="B232" s="17" t="s">
        <v>457</v>
      </c>
      <c r="C232" s="32"/>
      <c r="D232" s="42">
        <f>D233</f>
        <v>20</v>
      </c>
      <c r="E232" s="42">
        <f>E233</f>
        <v>20</v>
      </c>
      <c r="G232" s="31"/>
      <c r="H232" s="31"/>
    </row>
    <row r="233" spans="1:5" ht="47.25">
      <c r="A233" s="77" t="s">
        <v>15</v>
      </c>
      <c r="B233" s="17" t="s">
        <v>457</v>
      </c>
      <c r="C233" s="32" t="s">
        <v>16</v>
      </c>
      <c r="D233" s="41">
        <f>'2017-2018 годы ПРиложение 6'!E172</f>
        <v>20</v>
      </c>
      <c r="E233" s="41">
        <f>'2017-2018 годы ПРиложение 6'!F172</f>
        <v>20</v>
      </c>
    </row>
    <row r="234" spans="1:12" ht="15.75">
      <c r="A234" s="37" t="s">
        <v>43</v>
      </c>
      <c r="B234" s="38" t="s">
        <v>188</v>
      </c>
      <c r="C234" s="38" t="s">
        <v>0</v>
      </c>
      <c r="D234" s="39">
        <f>D235+D237+D239+D243+D245+D247+D249+D253+D255+D257+D259+D261+D263+D269+D271+D265+D267</f>
        <v>81098.20000000001</v>
      </c>
      <c r="E234" s="39">
        <f>E235+E237+E239+E243+E245+E247+E249+E253+E255+E257+E259+E261+E263+E269+E271+E265+E267</f>
        <v>75607.1</v>
      </c>
      <c r="G234" s="31"/>
      <c r="H234" s="31"/>
      <c r="I234" s="155"/>
      <c r="J234" s="155"/>
      <c r="K234" s="31"/>
      <c r="L234" s="31"/>
    </row>
    <row r="235" spans="1:5" ht="31.5">
      <c r="A235" s="27" t="s">
        <v>76</v>
      </c>
      <c r="B235" s="48" t="s">
        <v>200</v>
      </c>
      <c r="C235" s="25"/>
      <c r="D235" s="49">
        <f>D236</f>
        <v>1116.4</v>
      </c>
      <c r="E235" s="49">
        <f>E236</f>
        <v>1116.4</v>
      </c>
    </row>
    <row r="236" spans="1:5" ht="94.5">
      <c r="A236" s="50" t="s">
        <v>20</v>
      </c>
      <c r="B236" s="48" t="s">
        <v>200</v>
      </c>
      <c r="C236" s="25" t="s">
        <v>21</v>
      </c>
      <c r="D236" s="41">
        <f>'2017-2018 годы ПРиложение 6'!E16</f>
        <v>1116.4</v>
      </c>
      <c r="E236" s="41">
        <f>'2017-2018 годы ПРиложение 6'!F16</f>
        <v>1116.4</v>
      </c>
    </row>
    <row r="237" spans="1:5" ht="47.25">
      <c r="A237" s="50" t="s">
        <v>44</v>
      </c>
      <c r="B237" s="48" t="s">
        <v>201</v>
      </c>
      <c r="C237" s="48" t="s">
        <v>0</v>
      </c>
      <c r="D237" s="49">
        <f>D238</f>
        <v>500</v>
      </c>
      <c r="E237" s="49">
        <f>E238</f>
        <v>500</v>
      </c>
    </row>
    <row r="238" spans="1:5" ht="31.5">
      <c r="A238" s="51" t="s">
        <v>18</v>
      </c>
      <c r="B238" s="48" t="s">
        <v>201</v>
      </c>
      <c r="C238" s="48" t="s">
        <v>13</v>
      </c>
      <c r="D238" s="41">
        <f>'2017-2018 годы ПРиложение 6'!E18</f>
        <v>500</v>
      </c>
      <c r="E238" s="41">
        <f>'2017-2018 годы ПРиложение 6'!F18</f>
        <v>500</v>
      </c>
    </row>
    <row r="239" spans="1:5" ht="47.25">
      <c r="A239" s="50" t="s">
        <v>45</v>
      </c>
      <c r="B239" s="48" t="s">
        <v>199</v>
      </c>
      <c r="C239" s="48" t="s">
        <v>0</v>
      </c>
      <c r="D239" s="49">
        <f>D240+D241+D242</f>
        <v>2383.6</v>
      </c>
      <c r="E239" s="49">
        <f>E240+E241+E242</f>
        <v>2383.6</v>
      </c>
    </row>
    <row r="240" spans="1:5" ht="94.5">
      <c r="A240" s="50" t="s">
        <v>20</v>
      </c>
      <c r="B240" s="48" t="s">
        <v>199</v>
      </c>
      <c r="C240" s="48" t="s">
        <v>21</v>
      </c>
      <c r="D240" s="41">
        <f>'2017-2018 годы ПРиложение 6'!E20</f>
        <v>2154.5</v>
      </c>
      <c r="E240" s="41">
        <f>'2017-2018 годы ПРиложение 6'!F20</f>
        <v>2154.5</v>
      </c>
    </row>
    <row r="241" spans="1:5" ht="31.5">
      <c r="A241" s="51" t="s">
        <v>18</v>
      </c>
      <c r="B241" s="48" t="s">
        <v>199</v>
      </c>
      <c r="C241" s="25" t="s">
        <v>13</v>
      </c>
      <c r="D241" s="41">
        <f>'2017-2018 годы ПРиложение 6'!E21</f>
        <v>226.7</v>
      </c>
      <c r="E241" s="41">
        <f>'2017-2018 годы ПРиложение 6'!F21</f>
        <v>226.7</v>
      </c>
    </row>
    <row r="242" spans="1:5" ht="15.75">
      <c r="A242" s="51" t="s">
        <v>14</v>
      </c>
      <c r="B242" s="48" t="s">
        <v>199</v>
      </c>
      <c r="C242" s="25" t="s">
        <v>17</v>
      </c>
      <c r="D242" s="41">
        <f>'2017-2018 годы ПРиложение 6'!E22</f>
        <v>2.4</v>
      </c>
      <c r="E242" s="41">
        <f>'2017-2018 годы ПРиложение 6'!F22</f>
        <v>2.4</v>
      </c>
    </row>
    <row r="243" spans="1:5" ht="47.25">
      <c r="A243" s="26" t="s">
        <v>101</v>
      </c>
      <c r="B243" s="48" t="s">
        <v>196</v>
      </c>
      <c r="C243" s="206"/>
      <c r="D243" s="24">
        <f>D244</f>
        <v>13277.2</v>
      </c>
      <c r="E243" s="49">
        <f>E244</f>
        <v>3277.2</v>
      </c>
    </row>
    <row r="244" spans="1:11" ht="15.75">
      <c r="A244" s="53" t="s">
        <v>14</v>
      </c>
      <c r="B244" s="48" t="s">
        <v>196</v>
      </c>
      <c r="C244" s="25" t="s">
        <v>17</v>
      </c>
      <c r="D244" s="41">
        <f>'2017-2018 годы ПРиложение 6'!E175</f>
        <v>13277.2</v>
      </c>
      <c r="E244" s="41">
        <f>'2017-2018 годы ПРиложение 6'!F175</f>
        <v>3277.2</v>
      </c>
      <c r="J244" s="31"/>
      <c r="K244" s="31"/>
    </row>
    <row r="245" spans="1:8" ht="47.25">
      <c r="A245" s="26" t="s">
        <v>66</v>
      </c>
      <c r="B245" s="48" t="s">
        <v>186</v>
      </c>
      <c r="C245" s="25"/>
      <c r="D245" s="49">
        <f>D246</f>
        <v>1154.4</v>
      </c>
      <c r="E245" s="49">
        <f>E246</f>
        <v>1154.4</v>
      </c>
      <c r="G245" s="31"/>
      <c r="H245" s="31"/>
    </row>
    <row r="246" spans="1:5" ht="15.75">
      <c r="A246" s="53" t="s">
        <v>61</v>
      </c>
      <c r="B246" s="48" t="s">
        <v>186</v>
      </c>
      <c r="C246" s="48" t="s">
        <v>62</v>
      </c>
      <c r="D246" s="41">
        <f>'2017-2018 годы ПРиложение 6'!E270</f>
        <v>1154.4</v>
      </c>
      <c r="E246" s="41">
        <f>'2017-2018 годы ПРиложение 6'!F270</f>
        <v>1154.4</v>
      </c>
    </row>
    <row r="247" spans="1:5" ht="63">
      <c r="A247" s="53" t="s">
        <v>65</v>
      </c>
      <c r="B247" s="48" t="s">
        <v>187</v>
      </c>
      <c r="C247" s="25"/>
      <c r="D247" s="49">
        <f>D248</f>
        <v>136.9</v>
      </c>
      <c r="E247" s="49">
        <f>E248</f>
        <v>136.9</v>
      </c>
    </row>
    <row r="248" spans="1:5" ht="15.75">
      <c r="A248" s="53" t="s">
        <v>61</v>
      </c>
      <c r="B248" s="48" t="s">
        <v>187</v>
      </c>
      <c r="C248" s="48" t="s">
        <v>62</v>
      </c>
      <c r="D248" s="49">
        <f>'2017-2018 годы ПРиложение 6'!E272</f>
        <v>136.9</v>
      </c>
      <c r="E248" s="49">
        <f>'2017-2018 годы ПРиложение 6'!F272</f>
        <v>136.9</v>
      </c>
    </row>
    <row r="249" spans="1:5" ht="31.5">
      <c r="A249" s="53" t="s">
        <v>70</v>
      </c>
      <c r="B249" s="48" t="s">
        <v>202</v>
      </c>
      <c r="C249" s="48"/>
      <c r="D249" s="49">
        <f>D250</f>
        <v>1082.9</v>
      </c>
      <c r="E249" s="49">
        <f>E250</f>
        <v>1085.8</v>
      </c>
    </row>
    <row r="250" spans="1:5" ht="141.75">
      <c r="A250" s="207" t="s">
        <v>77</v>
      </c>
      <c r="B250" s="48" t="s">
        <v>203</v>
      </c>
      <c r="C250" s="48"/>
      <c r="D250" s="49">
        <f>D252+D251</f>
        <v>1082.9</v>
      </c>
      <c r="E250" s="49">
        <f>E252+E251</f>
        <v>1085.8</v>
      </c>
    </row>
    <row r="251" spans="1:8" ht="31.5">
      <c r="A251" s="53" t="s">
        <v>38</v>
      </c>
      <c r="B251" s="48" t="s">
        <v>203</v>
      </c>
      <c r="C251" s="48" t="s">
        <v>22</v>
      </c>
      <c r="D251" s="49">
        <f>'2017-2018 годы ПРиложение 6'!E206</f>
        <v>127.8</v>
      </c>
      <c r="E251" s="49">
        <f>'2017-2018 годы ПРиложение 6'!F206</f>
        <v>132.9</v>
      </c>
      <c r="G251" s="31"/>
      <c r="H251" s="31"/>
    </row>
    <row r="252" spans="1:5" ht="47.25">
      <c r="A252" s="53" t="s">
        <v>15</v>
      </c>
      <c r="B252" s="48" t="s">
        <v>203</v>
      </c>
      <c r="C252" s="48" t="s">
        <v>16</v>
      </c>
      <c r="D252" s="49">
        <f>'2017-2018 годы ПРиложение 6'!E207</f>
        <v>955.1</v>
      </c>
      <c r="E252" s="49">
        <f>'2017-2018 годы ПРиложение 6'!F207</f>
        <v>952.9</v>
      </c>
    </row>
    <row r="253" spans="1:8" ht="63">
      <c r="A253" s="53" t="s">
        <v>102</v>
      </c>
      <c r="B253" s="48" t="s">
        <v>198</v>
      </c>
      <c r="C253" s="25"/>
      <c r="D253" s="24">
        <f>D254</f>
        <v>634.8</v>
      </c>
      <c r="E253" s="49">
        <f>E254</f>
        <v>634.8</v>
      </c>
      <c r="G253" s="31"/>
      <c r="H253" s="31"/>
    </row>
    <row r="254" spans="1:5" ht="31.5">
      <c r="A254" s="53" t="s">
        <v>38</v>
      </c>
      <c r="B254" s="48" t="s">
        <v>198</v>
      </c>
      <c r="C254" s="25" t="s">
        <v>22</v>
      </c>
      <c r="D254" s="24">
        <f>'2017-2018 годы ПРиложение 6'!E177</f>
        <v>634.8</v>
      </c>
      <c r="E254" s="24">
        <f>'2017-2018 годы ПРиложение 6'!F177</f>
        <v>634.8</v>
      </c>
    </row>
    <row r="255" spans="1:5" ht="253.5" customHeight="1">
      <c r="A255" s="100" t="s">
        <v>329</v>
      </c>
      <c r="B255" s="59" t="s">
        <v>191</v>
      </c>
      <c r="C255" s="208"/>
      <c r="D255" s="56">
        <f>D256</f>
        <v>3</v>
      </c>
      <c r="E255" s="56">
        <f>E256</f>
        <v>3</v>
      </c>
    </row>
    <row r="256" spans="1:5" ht="31.5">
      <c r="A256" s="62" t="s">
        <v>18</v>
      </c>
      <c r="B256" s="59" t="s">
        <v>191</v>
      </c>
      <c r="C256" s="208">
        <v>200</v>
      </c>
      <c r="D256" s="56">
        <f>'2017-2018 годы ПРиложение 6'!E274</f>
        <v>3</v>
      </c>
      <c r="E256" s="56">
        <f>'2017-2018 годы ПРиложение 6'!F274</f>
        <v>3</v>
      </c>
    </row>
    <row r="257" spans="1:5" ht="220.5">
      <c r="A257" s="209" t="s">
        <v>330</v>
      </c>
      <c r="B257" s="128" t="s">
        <v>192</v>
      </c>
      <c r="C257" s="208"/>
      <c r="D257" s="56">
        <f>D258</f>
        <v>3</v>
      </c>
      <c r="E257" s="56">
        <f>E258</f>
        <v>3</v>
      </c>
    </row>
    <row r="258" spans="1:5" ht="31.5">
      <c r="A258" s="62" t="s">
        <v>18</v>
      </c>
      <c r="B258" s="128" t="s">
        <v>192</v>
      </c>
      <c r="C258" s="208">
        <v>200</v>
      </c>
      <c r="D258" s="56">
        <f>'2017-2018 годы ПРиложение 6'!E276</f>
        <v>3</v>
      </c>
      <c r="E258" s="56">
        <f>'2017-2018 годы ПРиложение 6'!F276</f>
        <v>3</v>
      </c>
    </row>
    <row r="259" spans="1:8" ht="31.5">
      <c r="A259" s="26" t="s">
        <v>63</v>
      </c>
      <c r="B259" s="128" t="s">
        <v>193</v>
      </c>
      <c r="C259" s="57"/>
      <c r="D259" s="56">
        <f>D260</f>
        <v>1621.7</v>
      </c>
      <c r="E259" s="56">
        <f>E260</f>
        <v>1600.3</v>
      </c>
      <c r="G259" s="31"/>
      <c r="H259" s="31"/>
    </row>
    <row r="260" spans="1:5" ht="15.75">
      <c r="A260" s="53" t="s">
        <v>61</v>
      </c>
      <c r="B260" s="128" t="s">
        <v>193</v>
      </c>
      <c r="C260" s="48" t="s">
        <v>62</v>
      </c>
      <c r="D260" s="56">
        <f>'2017-2018 годы ПРиложение 6'!E278</f>
        <v>1621.7</v>
      </c>
      <c r="E260" s="56">
        <f>'2017-2018 годы ПРиложение 6'!F278</f>
        <v>1600.3</v>
      </c>
    </row>
    <row r="261" spans="1:5" ht="135">
      <c r="A261" s="210" t="s">
        <v>331</v>
      </c>
      <c r="B261" s="128" t="s">
        <v>194</v>
      </c>
      <c r="C261" s="58"/>
      <c r="D261" s="56">
        <f>D262</f>
        <v>148.6</v>
      </c>
      <c r="E261" s="56">
        <f>E262</f>
        <v>148.6</v>
      </c>
    </row>
    <row r="262" spans="1:5" ht="15.75">
      <c r="A262" s="53" t="s">
        <v>61</v>
      </c>
      <c r="B262" s="128" t="s">
        <v>194</v>
      </c>
      <c r="C262" s="48" t="s">
        <v>62</v>
      </c>
      <c r="D262" s="56">
        <f>'2017-2018 годы ПРиложение 6'!E280</f>
        <v>148.6</v>
      </c>
      <c r="E262" s="56">
        <f>'2017-2018 годы ПРиложение 6'!F280</f>
        <v>148.6</v>
      </c>
    </row>
    <row r="263" spans="1:5" ht="165">
      <c r="A263" s="211" t="s">
        <v>332</v>
      </c>
      <c r="B263" s="128" t="s">
        <v>195</v>
      </c>
      <c r="C263" s="212"/>
      <c r="D263" s="56">
        <f>D264</f>
        <v>7</v>
      </c>
      <c r="E263" s="56">
        <f>E264</f>
        <v>7</v>
      </c>
    </row>
    <row r="264" spans="1:5" ht="31.5">
      <c r="A264" s="62" t="s">
        <v>18</v>
      </c>
      <c r="B264" s="128" t="s">
        <v>195</v>
      </c>
      <c r="C264" s="48" t="s">
        <v>13</v>
      </c>
      <c r="D264" s="56">
        <f>'2017-2018 годы ПРиложение 6'!E282</f>
        <v>7</v>
      </c>
      <c r="E264" s="56">
        <f>'2017-2018 годы ПРиложение 6'!F282</f>
        <v>7</v>
      </c>
    </row>
    <row r="265" spans="1:5" ht="47.25">
      <c r="A265" s="26" t="s">
        <v>78</v>
      </c>
      <c r="B265" s="48" t="s">
        <v>189</v>
      </c>
      <c r="C265" s="48" t="s">
        <v>0</v>
      </c>
      <c r="D265" s="56">
        <f>D266</f>
        <v>3400.1</v>
      </c>
      <c r="E265" s="56">
        <f>E266</f>
        <v>3500</v>
      </c>
    </row>
    <row r="266" spans="1:5" ht="15.75">
      <c r="A266" s="53" t="s">
        <v>61</v>
      </c>
      <c r="B266" s="48" t="s">
        <v>189</v>
      </c>
      <c r="C266" s="48" t="s">
        <v>62</v>
      </c>
      <c r="D266" s="24">
        <f>'2017-2018 годы ПРиложение 6'!E284</f>
        <v>3400.1</v>
      </c>
      <c r="E266" s="24">
        <f>'2017-2018 годы ПРиложение 6'!F284</f>
        <v>3500</v>
      </c>
    </row>
    <row r="267" spans="1:5" ht="31.5">
      <c r="A267" s="53" t="s">
        <v>64</v>
      </c>
      <c r="B267" s="48" t="s">
        <v>190</v>
      </c>
      <c r="C267" s="57"/>
      <c r="D267" s="56">
        <f>D268</f>
        <v>13021</v>
      </c>
      <c r="E267" s="56">
        <f>E268</f>
        <v>13230</v>
      </c>
    </row>
    <row r="268" spans="1:5" ht="15.75">
      <c r="A268" s="53" t="s">
        <v>61</v>
      </c>
      <c r="B268" s="48" t="s">
        <v>190</v>
      </c>
      <c r="C268" s="48" t="s">
        <v>62</v>
      </c>
      <c r="D268" s="24">
        <f>'2017-2018 годы ПРиложение 6'!E286</f>
        <v>13021</v>
      </c>
      <c r="E268" s="24">
        <f>'2017-2018 годы ПРиложение 6'!F286</f>
        <v>13230</v>
      </c>
    </row>
    <row r="269" spans="1:5" ht="63">
      <c r="A269" s="213" t="s">
        <v>458</v>
      </c>
      <c r="B269" s="214" t="s">
        <v>459</v>
      </c>
      <c r="C269" s="215"/>
      <c r="D269" s="216">
        <f>D270</f>
        <v>1400</v>
      </c>
      <c r="E269" s="216">
        <f>E270</f>
        <v>1400</v>
      </c>
    </row>
    <row r="270" spans="1:5" ht="15.75">
      <c r="A270" s="70" t="s">
        <v>14</v>
      </c>
      <c r="B270" s="214" t="s">
        <v>459</v>
      </c>
      <c r="C270" s="215">
        <v>800</v>
      </c>
      <c r="D270" s="24">
        <f>'2017-2018 годы ПРиложение 6'!E179</f>
        <v>1400</v>
      </c>
      <c r="E270" s="24">
        <f>'2017-2018 годы ПРиложение 6'!F179</f>
        <v>1400</v>
      </c>
    </row>
    <row r="271" spans="1:5" ht="23.25" customHeight="1">
      <c r="A271" s="50" t="s">
        <v>460</v>
      </c>
      <c r="B271" s="17" t="s">
        <v>461</v>
      </c>
      <c r="C271" s="217"/>
      <c r="D271" s="54">
        <f>D272</f>
        <v>41207.6</v>
      </c>
      <c r="E271" s="54">
        <f>E272</f>
        <v>45426.1</v>
      </c>
    </row>
    <row r="272" spans="1:5" ht="15.75">
      <c r="A272" s="50" t="s">
        <v>14</v>
      </c>
      <c r="B272" s="17" t="s">
        <v>461</v>
      </c>
      <c r="C272" s="217">
        <v>800</v>
      </c>
      <c r="D272" s="54">
        <f>'2017-2018 годы ПРиложение 6'!E288</f>
        <v>41207.6</v>
      </c>
      <c r="E272" s="54">
        <f>'2017-2018 годы ПРиложение 6'!F288</f>
        <v>45426.1</v>
      </c>
    </row>
  </sheetData>
  <sheetProtection/>
  <autoFilter ref="A11:E272"/>
  <mergeCells count="8">
    <mergeCell ref="A7:E7"/>
    <mergeCell ref="B5:E5"/>
    <mergeCell ref="B4:E4"/>
    <mergeCell ref="B2:E2"/>
    <mergeCell ref="B1:E1"/>
    <mergeCell ref="C9:C10"/>
    <mergeCell ref="B9:B10"/>
    <mergeCell ref="A9:A10"/>
  </mergeCells>
  <printOptions/>
  <pageMargins left="0.31496062992125984" right="0" top="0" bottom="0" header="0" footer="0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1"/>
  <sheetViews>
    <sheetView tabSelected="1" view="pageBreakPreview" zoomScale="96" zoomScaleSheetLayoutView="96" workbookViewId="0" topLeftCell="A1">
      <selection activeCell="F162" sqref="F162"/>
    </sheetView>
  </sheetViews>
  <sheetFormatPr defaultColWidth="9.140625" defaultRowHeight="12.75"/>
  <cols>
    <col min="1" max="1" width="52.140625" style="0" customWidth="1"/>
    <col min="2" max="2" width="7.28125" style="0" customWidth="1"/>
    <col min="3" max="3" width="17.57421875" style="0" customWidth="1"/>
    <col min="4" max="4" width="6.421875" style="0" customWidth="1"/>
    <col min="5" max="5" width="13.7109375" style="0" customWidth="1"/>
    <col min="6" max="6" width="13.8515625" style="0" customWidth="1"/>
    <col min="7" max="7" width="12.8515625" style="0" customWidth="1"/>
    <col min="8" max="8" width="19.28125" style="0" customWidth="1"/>
    <col min="9" max="10" width="15.00390625" style="0" customWidth="1"/>
    <col min="11" max="11" width="12.28125" style="0" customWidth="1"/>
    <col min="12" max="12" width="15.00390625" style="0" customWidth="1"/>
    <col min="13" max="13" width="13.28125" style="0" customWidth="1"/>
    <col min="14" max="14" width="9.140625" style="0" customWidth="1"/>
  </cols>
  <sheetData>
    <row r="1" spans="3:7" ht="15.75">
      <c r="C1" s="260" t="s">
        <v>143</v>
      </c>
      <c r="D1" s="260"/>
      <c r="E1" s="260"/>
      <c r="F1" s="260"/>
      <c r="G1" s="260"/>
    </row>
    <row r="2" spans="3:7" ht="29.25" customHeight="1">
      <c r="C2" s="264" t="s">
        <v>439</v>
      </c>
      <c r="D2" s="264"/>
      <c r="E2" s="264"/>
      <c r="F2" s="264"/>
      <c r="G2" s="264"/>
    </row>
    <row r="4" spans="1:7" ht="18.75">
      <c r="A4" s="5"/>
      <c r="B4" s="5"/>
      <c r="C4" s="260" t="s">
        <v>143</v>
      </c>
      <c r="D4" s="260"/>
      <c r="E4" s="260"/>
      <c r="F4" s="260"/>
      <c r="G4" s="260"/>
    </row>
    <row r="5" spans="1:7" ht="30" customHeight="1">
      <c r="A5" s="5"/>
      <c r="B5" s="5"/>
      <c r="C5" s="264" t="s">
        <v>347</v>
      </c>
      <c r="D5" s="264"/>
      <c r="E5" s="264"/>
      <c r="F5" s="264"/>
      <c r="G5" s="264"/>
    </row>
    <row r="6" spans="1:7" ht="18.75">
      <c r="A6" s="5"/>
      <c r="B6" s="5"/>
      <c r="C6" s="6"/>
      <c r="D6" s="6"/>
      <c r="E6" s="6"/>
      <c r="F6" s="6"/>
      <c r="G6" s="6"/>
    </row>
    <row r="7" spans="1:7" ht="53.25" customHeight="1">
      <c r="A7" s="265" t="s">
        <v>171</v>
      </c>
      <c r="B7" s="265"/>
      <c r="C7" s="265"/>
      <c r="D7" s="265"/>
      <c r="E7" s="265"/>
      <c r="F7" s="265"/>
      <c r="G7" s="265"/>
    </row>
    <row r="8" spans="1:10" ht="15.75">
      <c r="A8" s="1" t="s">
        <v>0</v>
      </c>
      <c r="B8" s="1"/>
      <c r="C8" s="1" t="s">
        <v>0</v>
      </c>
      <c r="D8" s="1" t="s">
        <v>0</v>
      </c>
      <c r="E8" s="2"/>
      <c r="F8" s="2"/>
      <c r="G8" s="2"/>
      <c r="I8" s="148">
        <f>1640042.4+360785.4</f>
        <v>2000827.7999999998</v>
      </c>
      <c r="J8" s="148">
        <f>I8-G12</f>
        <v>-551541.7999999998</v>
      </c>
    </row>
    <row r="9" spans="1:7" ht="15.75" customHeight="1">
      <c r="A9" s="261" t="s">
        <v>3</v>
      </c>
      <c r="B9" s="261" t="s">
        <v>144</v>
      </c>
      <c r="C9" s="261" t="s">
        <v>1</v>
      </c>
      <c r="D9" s="261" t="s">
        <v>2</v>
      </c>
      <c r="E9" s="261" t="s">
        <v>9</v>
      </c>
      <c r="F9" s="261" t="s">
        <v>349</v>
      </c>
      <c r="G9" s="261" t="s">
        <v>9</v>
      </c>
    </row>
    <row r="10" spans="1:7" ht="40.5" customHeight="1">
      <c r="A10" s="268"/>
      <c r="B10" s="269"/>
      <c r="C10" s="262"/>
      <c r="D10" s="262"/>
      <c r="E10" s="268"/>
      <c r="F10" s="268"/>
      <c r="G10" s="268"/>
    </row>
    <row r="11" spans="1:12" ht="15">
      <c r="A11" s="101" t="s">
        <v>4</v>
      </c>
      <c r="B11" s="101">
        <v>2</v>
      </c>
      <c r="C11" s="101">
        <v>3</v>
      </c>
      <c r="D11" s="101">
        <v>4</v>
      </c>
      <c r="E11" s="101">
        <v>5</v>
      </c>
      <c r="F11" s="101">
        <v>6</v>
      </c>
      <c r="G11" s="101">
        <v>5</v>
      </c>
      <c r="H11" s="4"/>
      <c r="I11" s="4" t="s">
        <v>10</v>
      </c>
      <c r="J11" s="4"/>
      <c r="K11" s="4"/>
      <c r="L11" s="4"/>
    </row>
    <row r="12" spans="1:14" ht="28.5" customHeight="1">
      <c r="A12" s="7" t="s">
        <v>8</v>
      </c>
      <c r="B12" s="7"/>
      <c r="C12" s="7" t="s">
        <v>0</v>
      </c>
      <c r="D12" s="8"/>
      <c r="E12" s="8">
        <f>E13+E25+E276+E323+E350+E424</f>
        <v>2550527.8</v>
      </c>
      <c r="F12" s="8">
        <f>F13+F25+F276+F323+F350+F424</f>
        <v>1841.8000000000002</v>
      </c>
      <c r="G12" s="8">
        <f>G13+G25+G276+G323+G350+G424</f>
        <v>2552369.5999999996</v>
      </c>
      <c r="H12" s="168">
        <f>E12+F12</f>
        <v>2552369.5999999996</v>
      </c>
      <c r="I12" s="30">
        <f>'2016 год Приложение 3'!D12</f>
        <v>2550527.7999999993</v>
      </c>
      <c r="J12" s="30">
        <f>'2016 год Приложение 3'!E12</f>
        <v>1841.8000000000002</v>
      </c>
      <c r="K12" s="30">
        <f>'2016 год Приложение 3'!F12</f>
        <v>2552369.6</v>
      </c>
      <c r="L12" s="168"/>
      <c r="M12" s="148">
        <f>L12-G12</f>
        <v>-2552369.5999999996</v>
      </c>
      <c r="N12">
        <v>1162.1</v>
      </c>
    </row>
    <row r="13" spans="1:12" ht="29.25" customHeight="1">
      <c r="A13" s="102" t="s">
        <v>145</v>
      </c>
      <c r="B13" s="38" t="s">
        <v>146</v>
      </c>
      <c r="C13" s="35"/>
      <c r="D13" s="35"/>
      <c r="E13" s="36">
        <f>E14</f>
        <v>4100</v>
      </c>
      <c r="F13" s="36">
        <f>F14</f>
        <v>0</v>
      </c>
      <c r="G13" s="36">
        <f>G14</f>
        <v>4100</v>
      </c>
      <c r="H13" s="135"/>
      <c r="I13" s="163">
        <f>E12-I12</f>
        <v>0</v>
      </c>
      <c r="J13" s="163">
        <f>F12-J12</f>
        <v>0</v>
      </c>
      <c r="K13" s="163">
        <f>G12-K12</f>
        <v>0</v>
      </c>
      <c r="L13" s="134"/>
    </row>
    <row r="14" spans="1:12" ht="15.75">
      <c r="A14" s="103" t="s">
        <v>43</v>
      </c>
      <c r="B14" s="104" t="s">
        <v>146</v>
      </c>
      <c r="C14" s="105" t="s">
        <v>188</v>
      </c>
      <c r="D14" s="105" t="s">
        <v>0</v>
      </c>
      <c r="E14" s="106">
        <f>E15+E17+E21</f>
        <v>4100</v>
      </c>
      <c r="F14" s="106">
        <f>F15+F17+F21</f>
        <v>0</v>
      </c>
      <c r="G14" s="106">
        <f>G15+G17+G21</f>
        <v>4100</v>
      </c>
      <c r="H14" s="135"/>
      <c r="I14" s="137"/>
      <c r="J14" s="134"/>
      <c r="K14" s="134"/>
      <c r="L14" s="168"/>
    </row>
    <row r="15" spans="1:12" ht="31.5">
      <c r="A15" s="27" t="s">
        <v>147</v>
      </c>
      <c r="B15" s="25" t="s">
        <v>146</v>
      </c>
      <c r="C15" s="48" t="s">
        <v>200</v>
      </c>
      <c r="D15" s="25"/>
      <c r="E15" s="49">
        <f>E16</f>
        <v>1407.4</v>
      </c>
      <c r="F15" s="49">
        <f>F16</f>
        <v>0</v>
      </c>
      <c r="G15" s="49">
        <f>G16</f>
        <v>1407.4</v>
      </c>
      <c r="H15" s="134"/>
      <c r="I15" s="136"/>
      <c r="J15" s="134"/>
      <c r="K15" s="134"/>
      <c r="L15" s="134"/>
    </row>
    <row r="16" spans="1:12" ht="78.75">
      <c r="A16" s="63" t="s">
        <v>20</v>
      </c>
      <c r="B16" s="25" t="s">
        <v>146</v>
      </c>
      <c r="C16" s="48" t="s">
        <v>200</v>
      </c>
      <c r="D16" s="25" t="s">
        <v>21</v>
      </c>
      <c r="E16" s="49">
        <v>1407.4</v>
      </c>
      <c r="F16" s="49">
        <v>0</v>
      </c>
      <c r="G16" s="49">
        <f>E16+F16</f>
        <v>1407.4</v>
      </c>
      <c r="H16" s="134"/>
      <c r="I16" s="137"/>
      <c r="J16" s="134"/>
      <c r="K16" s="168">
        <f>E12+F12</f>
        <v>2552369.5999999996</v>
      </c>
      <c r="L16" s="168"/>
    </row>
    <row r="17" spans="1:13" ht="47.25">
      <c r="A17" s="63" t="s">
        <v>44</v>
      </c>
      <c r="B17" s="25" t="s">
        <v>146</v>
      </c>
      <c r="C17" s="48" t="s">
        <v>201</v>
      </c>
      <c r="D17" s="48" t="s">
        <v>0</v>
      </c>
      <c r="E17" s="49">
        <f>+E19+E20+E18</f>
        <v>600</v>
      </c>
      <c r="F17" s="49">
        <f>+F19+F20+F18</f>
        <v>0</v>
      </c>
      <c r="G17" s="49">
        <f>+G19+G20+G18</f>
        <v>600</v>
      </c>
      <c r="H17" s="134"/>
      <c r="I17" s="136"/>
      <c r="J17" s="134"/>
      <c r="K17" s="134"/>
      <c r="L17" s="134"/>
      <c r="M17" s="148"/>
    </row>
    <row r="18" spans="1:13" ht="78.75">
      <c r="A18" s="63" t="s">
        <v>20</v>
      </c>
      <c r="B18" s="25" t="s">
        <v>146</v>
      </c>
      <c r="C18" s="48" t="s">
        <v>201</v>
      </c>
      <c r="D18" s="48" t="s">
        <v>21</v>
      </c>
      <c r="E18" s="49">
        <v>88</v>
      </c>
      <c r="F18" s="49">
        <v>0</v>
      </c>
      <c r="G18" s="49">
        <f>E18+F18</f>
        <v>88</v>
      </c>
      <c r="H18" s="134"/>
      <c r="I18" s="136"/>
      <c r="J18" s="134"/>
      <c r="K18" s="134"/>
      <c r="L18" s="134"/>
      <c r="M18" s="148"/>
    </row>
    <row r="19" spans="1:12" ht="31.5">
      <c r="A19" s="51" t="s">
        <v>18</v>
      </c>
      <c r="B19" s="25" t="s">
        <v>146</v>
      </c>
      <c r="C19" s="48" t="s">
        <v>201</v>
      </c>
      <c r="D19" s="48" t="s">
        <v>13</v>
      </c>
      <c r="E19" s="49">
        <v>508.8</v>
      </c>
      <c r="F19" s="49">
        <v>0</v>
      </c>
      <c r="G19" s="49">
        <f>E19+F19</f>
        <v>508.8</v>
      </c>
      <c r="H19" s="134"/>
      <c r="I19" s="137"/>
      <c r="J19" s="134"/>
      <c r="K19" s="134"/>
      <c r="L19" s="168"/>
    </row>
    <row r="20" spans="1:12" ht="15.75">
      <c r="A20" s="51" t="s">
        <v>14</v>
      </c>
      <c r="B20" s="25" t="s">
        <v>146</v>
      </c>
      <c r="C20" s="48" t="s">
        <v>201</v>
      </c>
      <c r="D20" s="48" t="s">
        <v>17</v>
      </c>
      <c r="E20" s="49">
        <v>3.2</v>
      </c>
      <c r="F20" s="49">
        <v>0</v>
      </c>
      <c r="G20" s="49">
        <f>E20+F20</f>
        <v>3.2</v>
      </c>
      <c r="H20" s="134"/>
      <c r="I20" s="137"/>
      <c r="J20" s="134"/>
      <c r="K20" s="134"/>
      <c r="L20" s="168"/>
    </row>
    <row r="21" spans="1:12" ht="31.5">
      <c r="A21" s="63" t="s">
        <v>45</v>
      </c>
      <c r="B21" s="25" t="s">
        <v>146</v>
      </c>
      <c r="C21" s="48" t="s">
        <v>199</v>
      </c>
      <c r="D21" s="48" t="s">
        <v>0</v>
      </c>
      <c r="E21" s="49">
        <f>E22+E23+E24</f>
        <v>2092.6</v>
      </c>
      <c r="F21" s="49">
        <f>F22+F23+F24</f>
        <v>0</v>
      </c>
      <c r="G21" s="49">
        <f>G22+G23+G24</f>
        <v>2092.6</v>
      </c>
      <c r="H21" s="134"/>
      <c r="I21" s="137"/>
      <c r="J21" s="134"/>
      <c r="K21" s="134"/>
      <c r="L21" s="134"/>
    </row>
    <row r="22" spans="1:12" ht="78.75">
      <c r="A22" s="63" t="s">
        <v>20</v>
      </c>
      <c r="B22" s="25" t="s">
        <v>146</v>
      </c>
      <c r="C22" s="48" t="s">
        <v>199</v>
      </c>
      <c r="D22" s="48" t="s">
        <v>21</v>
      </c>
      <c r="E22" s="49">
        <v>1813.9999999999998</v>
      </c>
      <c r="F22" s="49">
        <v>0</v>
      </c>
      <c r="G22" s="49">
        <f>E22+F22</f>
        <v>1813.9999999999998</v>
      </c>
      <c r="H22" s="134"/>
      <c r="I22" s="136"/>
      <c r="J22" s="134"/>
      <c r="K22" s="134"/>
      <c r="L22" s="134"/>
    </row>
    <row r="23" spans="1:12" ht="31.5">
      <c r="A23" s="51" t="s">
        <v>18</v>
      </c>
      <c r="B23" s="25" t="s">
        <v>146</v>
      </c>
      <c r="C23" s="48" t="s">
        <v>199</v>
      </c>
      <c r="D23" s="25" t="s">
        <v>13</v>
      </c>
      <c r="E23" s="49">
        <v>276.8</v>
      </c>
      <c r="F23" s="49">
        <v>0</v>
      </c>
      <c r="G23" s="49">
        <f>E23+F23</f>
        <v>276.8</v>
      </c>
      <c r="H23" s="134"/>
      <c r="I23" s="137"/>
      <c r="J23" s="134"/>
      <c r="K23" s="134"/>
      <c r="L23" s="134"/>
    </row>
    <row r="24" spans="1:12" ht="15.75">
      <c r="A24" s="51" t="s">
        <v>14</v>
      </c>
      <c r="B24" s="25" t="s">
        <v>146</v>
      </c>
      <c r="C24" s="48" t="s">
        <v>199</v>
      </c>
      <c r="D24" s="25" t="s">
        <v>17</v>
      </c>
      <c r="E24" s="49">
        <v>1.8</v>
      </c>
      <c r="F24" s="49"/>
      <c r="G24" s="49">
        <f>E24+F24</f>
        <v>1.8</v>
      </c>
      <c r="H24" s="134"/>
      <c r="I24" s="137"/>
      <c r="J24" s="134"/>
      <c r="K24" s="134"/>
      <c r="L24" s="134"/>
    </row>
    <row r="25" spans="1:12" ht="31.5">
      <c r="A25" s="107" t="s">
        <v>170</v>
      </c>
      <c r="B25" s="38" t="s">
        <v>148</v>
      </c>
      <c r="C25" s="108"/>
      <c r="D25" s="109"/>
      <c r="E25" s="39">
        <f>E26+E42+E65+E137+E151+E195+E219+E249+E129</f>
        <v>786252.8</v>
      </c>
      <c r="F25" s="39">
        <f>F26+F42+F65+F137+F151+F195+F219+F249+F129</f>
        <v>-482.9999999999999</v>
      </c>
      <c r="G25" s="39">
        <f>G26+G42+G65+G137+G151+G195+G219+G249+G129</f>
        <v>785769.7999999999</v>
      </c>
      <c r="H25" s="134"/>
      <c r="I25" s="137"/>
      <c r="J25" s="134"/>
      <c r="K25" s="134"/>
      <c r="L25" s="134"/>
    </row>
    <row r="26" spans="1:12" ht="31.5">
      <c r="A26" s="110" t="s">
        <v>95</v>
      </c>
      <c r="B26" s="105" t="s">
        <v>148</v>
      </c>
      <c r="C26" s="104" t="s">
        <v>182</v>
      </c>
      <c r="D26" s="104" t="s">
        <v>0</v>
      </c>
      <c r="E26" s="111">
        <f>E27</f>
        <v>3091</v>
      </c>
      <c r="F26" s="111">
        <f>F27</f>
        <v>0</v>
      </c>
      <c r="G26" s="111">
        <f>G27</f>
        <v>3091</v>
      </c>
      <c r="H26" s="135"/>
      <c r="I26" s="135"/>
      <c r="J26" s="138"/>
      <c r="K26" s="134"/>
      <c r="L26" s="134"/>
    </row>
    <row r="27" spans="1:12" ht="47.25">
      <c r="A27" s="15" t="s">
        <v>96</v>
      </c>
      <c r="B27" s="112" t="s">
        <v>148</v>
      </c>
      <c r="C27" s="13" t="s">
        <v>183</v>
      </c>
      <c r="D27" s="13" t="s">
        <v>0</v>
      </c>
      <c r="E27" s="14">
        <f>E28+E30+E32+E34+E36+E38+E40</f>
        <v>3091</v>
      </c>
      <c r="F27" s="14">
        <f>F28+F30+F32+F34+F36+F38+F40</f>
        <v>0</v>
      </c>
      <c r="G27" s="14">
        <f>G28+G30+G32+G34+G36+G38+G40</f>
        <v>3091</v>
      </c>
      <c r="H27" s="135"/>
      <c r="I27" s="136"/>
      <c r="J27" s="3"/>
      <c r="K27" s="3"/>
      <c r="L27" s="3"/>
    </row>
    <row r="28" spans="1:12" ht="31.5">
      <c r="A28" s="16" t="s">
        <v>11</v>
      </c>
      <c r="B28" s="32" t="s">
        <v>148</v>
      </c>
      <c r="C28" s="17" t="s">
        <v>184</v>
      </c>
      <c r="D28" s="17"/>
      <c r="E28" s="10">
        <f>E29</f>
        <v>180</v>
      </c>
      <c r="F28" s="10">
        <f>F29</f>
        <v>0</v>
      </c>
      <c r="G28" s="10">
        <f>G29</f>
        <v>180</v>
      </c>
      <c r="H28" s="3"/>
      <c r="I28" s="136"/>
      <c r="J28" s="3"/>
      <c r="K28" s="3"/>
      <c r="L28" s="3"/>
    </row>
    <row r="29" spans="1:12" ht="31.5">
      <c r="A29" s="86" t="s">
        <v>18</v>
      </c>
      <c r="B29" s="48" t="s">
        <v>148</v>
      </c>
      <c r="C29" s="17" t="s">
        <v>184</v>
      </c>
      <c r="D29" s="48" t="s">
        <v>13</v>
      </c>
      <c r="E29" s="49">
        <v>180</v>
      </c>
      <c r="F29" s="49"/>
      <c r="G29" s="49">
        <f>E29+F29</f>
        <v>180</v>
      </c>
      <c r="H29" s="3"/>
      <c r="I29" s="136"/>
      <c r="J29" s="3"/>
      <c r="K29" s="3"/>
      <c r="L29" s="3"/>
    </row>
    <row r="30" spans="1:12" ht="31.5">
      <c r="A30" s="46" t="s">
        <v>12</v>
      </c>
      <c r="B30" s="48" t="s">
        <v>148</v>
      </c>
      <c r="C30" s="17" t="s">
        <v>185</v>
      </c>
      <c r="D30" s="48"/>
      <c r="E30" s="24">
        <f>E31</f>
        <v>569.3</v>
      </c>
      <c r="F30" s="24">
        <f>F31</f>
        <v>0</v>
      </c>
      <c r="G30" s="24">
        <f>G31</f>
        <v>569.3</v>
      </c>
      <c r="H30" s="3"/>
      <c r="I30" s="136"/>
      <c r="J30" s="3"/>
      <c r="K30" s="3"/>
      <c r="L30" s="3"/>
    </row>
    <row r="31" spans="1:12" ht="15.75">
      <c r="A31" s="51" t="s">
        <v>14</v>
      </c>
      <c r="B31" s="48" t="s">
        <v>148</v>
      </c>
      <c r="C31" s="17" t="s">
        <v>185</v>
      </c>
      <c r="D31" s="48" t="s">
        <v>17</v>
      </c>
      <c r="E31" s="49">
        <v>569.3</v>
      </c>
      <c r="F31" s="49">
        <v>0</v>
      </c>
      <c r="G31" s="49">
        <f>E31+F31</f>
        <v>569.3</v>
      </c>
      <c r="H31" s="3"/>
      <c r="I31" s="136"/>
      <c r="J31" s="163"/>
      <c r="K31" s="163"/>
      <c r="L31" s="3"/>
    </row>
    <row r="32" spans="1:12" ht="47.25">
      <c r="A32" s="51" t="s">
        <v>426</v>
      </c>
      <c r="B32" s="48" t="s">
        <v>148</v>
      </c>
      <c r="C32" s="17" t="s">
        <v>424</v>
      </c>
      <c r="D32" s="48"/>
      <c r="E32" s="24">
        <f>E33</f>
        <v>773.3</v>
      </c>
      <c r="F32" s="24">
        <f>F33</f>
        <v>0</v>
      </c>
      <c r="G32" s="24">
        <f>G33</f>
        <v>773.3</v>
      </c>
      <c r="H32" s="3"/>
      <c r="I32" s="136"/>
      <c r="J32" s="163"/>
      <c r="K32" s="163"/>
      <c r="L32" s="3"/>
    </row>
    <row r="33" spans="1:12" ht="15.75">
      <c r="A33" s="51" t="s">
        <v>14</v>
      </c>
      <c r="B33" s="48" t="s">
        <v>148</v>
      </c>
      <c r="C33" s="17" t="s">
        <v>424</v>
      </c>
      <c r="D33" s="48" t="s">
        <v>17</v>
      </c>
      <c r="E33" s="49">
        <v>773.3</v>
      </c>
      <c r="F33" s="49">
        <v>0</v>
      </c>
      <c r="G33" s="49">
        <f>E33+F33</f>
        <v>773.3</v>
      </c>
      <c r="H33" s="3"/>
      <c r="I33" s="136"/>
      <c r="J33" s="163"/>
      <c r="K33" s="163"/>
      <c r="L33" s="3"/>
    </row>
    <row r="34" spans="1:12" ht="31.5">
      <c r="A34" s="46" t="s">
        <v>406</v>
      </c>
      <c r="B34" s="48" t="s">
        <v>148</v>
      </c>
      <c r="C34" s="17" t="s">
        <v>405</v>
      </c>
      <c r="D34" s="48"/>
      <c r="E34" s="24">
        <f>E35</f>
        <v>579.6</v>
      </c>
      <c r="F34" s="24">
        <f>F35</f>
        <v>0</v>
      </c>
      <c r="G34" s="24">
        <f>G35</f>
        <v>579.6</v>
      </c>
      <c r="H34" s="3"/>
      <c r="I34" s="136"/>
      <c r="J34" s="163"/>
      <c r="K34" s="163"/>
      <c r="L34" s="3"/>
    </row>
    <row r="35" spans="1:12" ht="15.75">
      <c r="A35" s="51" t="s">
        <v>14</v>
      </c>
      <c r="B35" s="48" t="s">
        <v>148</v>
      </c>
      <c r="C35" s="17" t="s">
        <v>405</v>
      </c>
      <c r="D35" s="48" t="s">
        <v>17</v>
      </c>
      <c r="E35" s="49">
        <v>579.6</v>
      </c>
      <c r="F35" s="49">
        <v>0</v>
      </c>
      <c r="G35" s="49">
        <f>E35+F35</f>
        <v>579.6</v>
      </c>
      <c r="H35" s="3"/>
      <c r="I35" s="136"/>
      <c r="J35" s="163"/>
      <c r="K35" s="163"/>
      <c r="L35" s="3"/>
    </row>
    <row r="36" spans="1:12" ht="47.25">
      <c r="A36" s="51" t="s">
        <v>426</v>
      </c>
      <c r="B36" s="48" t="s">
        <v>148</v>
      </c>
      <c r="C36" s="17" t="s">
        <v>427</v>
      </c>
      <c r="D36" s="48"/>
      <c r="E36" s="24">
        <f>E37</f>
        <v>597.2</v>
      </c>
      <c r="F36" s="24">
        <f>F37</f>
        <v>0</v>
      </c>
      <c r="G36" s="24">
        <f>G37</f>
        <v>597.2</v>
      </c>
      <c r="H36" s="3"/>
      <c r="I36" s="136"/>
      <c r="J36" s="163"/>
      <c r="K36" s="163"/>
      <c r="L36" s="3"/>
    </row>
    <row r="37" spans="1:12" ht="15.75">
      <c r="A37" s="51" t="s">
        <v>14</v>
      </c>
      <c r="B37" s="48" t="s">
        <v>148</v>
      </c>
      <c r="C37" s="17" t="s">
        <v>427</v>
      </c>
      <c r="D37" s="48" t="s">
        <v>17</v>
      </c>
      <c r="E37" s="49">
        <v>597.2</v>
      </c>
      <c r="F37" s="49">
        <v>0</v>
      </c>
      <c r="G37" s="49">
        <f>E37+F37</f>
        <v>597.2</v>
      </c>
      <c r="H37" s="3"/>
      <c r="I37" s="136"/>
      <c r="J37" s="163"/>
      <c r="K37" s="163"/>
      <c r="L37" s="3"/>
    </row>
    <row r="38" spans="1:12" ht="47.25">
      <c r="A38" s="51" t="s">
        <v>426</v>
      </c>
      <c r="B38" s="48" t="s">
        <v>148</v>
      </c>
      <c r="C38" s="17" t="s">
        <v>425</v>
      </c>
      <c r="D38" s="48"/>
      <c r="E38" s="24">
        <f>E39</f>
        <v>308.8</v>
      </c>
      <c r="F38" s="24">
        <f>F39</f>
        <v>0</v>
      </c>
      <c r="G38" s="24">
        <f>G39</f>
        <v>308.8</v>
      </c>
      <c r="H38" s="3"/>
      <c r="I38" s="136"/>
      <c r="J38" s="163"/>
      <c r="K38" s="163"/>
      <c r="L38" s="3"/>
    </row>
    <row r="39" spans="1:12" ht="15.75">
      <c r="A39" s="51" t="s">
        <v>14</v>
      </c>
      <c r="B39" s="48" t="s">
        <v>148</v>
      </c>
      <c r="C39" s="17" t="s">
        <v>425</v>
      </c>
      <c r="D39" s="48" t="s">
        <v>17</v>
      </c>
      <c r="E39" s="49">
        <v>308.8</v>
      </c>
      <c r="F39" s="49">
        <v>0</v>
      </c>
      <c r="G39" s="49">
        <f>E39+F39</f>
        <v>308.8</v>
      </c>
      <c r="H39" s="3"/>
      <c r="I39" s="136"/>
      <c r="J39" s="163"/>
      <c r="K39" s="163"/>
      <c r="L39" s="3"/>
    </row>
    <row r="40" spans="1:12" ht="31.5">
      <c r="A40" s="46" t="s">
        <v>406</v>
      </c>
      <c r="B40" s="48" t="s">
        <v>148</v>
      </c>
      <c r="C40" s="17" t="s">
        <v>408</v>
      </c>
      <c r="D40" s="48"/>
      <c r="E40" s="24">
        <f>E41</f>
        <v>82.8</v>
      </c>
      <c r="F40" s="24">
        <f>F41</f>
        <v>0</v>
      </c>
      <c r="G40" s="24">
        <f>G41</f>
        <v>82.8</v>
      </c>
      <c r="H40" s="3"/>
      <c r="I40" s="136"/>
      <c r="J40" s="163"/>
      <c r="K40" s="163"/>
      <c r="L40" s="3"/>
    </row>
    <row r="41" spans="1:12" ht="15.75">
      <c r="A41" s="51" t="s">
        <v>14</v>
      </c>
      <c r="B41" s="48" t="s">
        <v>148</v>
      </c>
      <c r="C41" s="17" t="s">
        <v>408</v>
      </c>
      <c r="D41" s="48" t="s">
        <v>17</v>
      </c>
      <c r="E41" s="49">
        <v>82.8</v>
      </c>
      <c r="F41" s="49">
        <v>0</v>
      </c>
      <c r="G41" s="49">
        <f>E41+F41</f>
        <v>82.8</v>
      </c>
      <c r="H41" s="3"/>
      <c r="I41" s="136"/>
      <c r="J41" s="163"/>
      <c r="K41" s="163"/>
      <c r="L41" s="3"/>
    </row>
    <row r="42" spans="1:12" ht="47.25">
      <c r="A42" s="110" t="s">
        <v>97</v>
      </c>
      <c r="B42" s="105" t="s">
        <v>148</v>
      </c>
      <c r="C42" s="104" t="s">
        <v>266</v>
      </c>
      <c r="D42" s="104" t="s">
        <v>0</v>
      </c>
      <c r="E42" s="111">
        <f>E43+E52</f>
        <v>25386.9</v>
      </c>
      <c r="F42" s="111">
        <f>F43+F52</f>
        <v>-1950.6</v>
      </c>
      <c r="G42" s="111">
        <f>G43+G52</f>
        <v>23436.3</v>
      </c>
      <c r="H42" s="3"/>
      <c r="I42" s="136"/>
      <c r="J42" s="163"/>
      <c r="K42" s="163"/>
      <c r="L42" s="3"/>
    </row>
    <row r="43" spans="1:12" ht="31.5">
      <c r="A43" s="12" t="s">
        <v>116</v>
      </c>
      <c r="B43" s="112" t="s">
        <v>148</v>
      </c>
      <c r="C43" s="13" t="s">
        <v>267</v>
      </c>
      <c r="D43" s="13" t="s">
        <v>0</v>
      </c>
      <c r="E43" s="14">
        <f>E44+E46+E50+E48</f>
        <v>665</v>
      </c>
      <c r="F43" s="14">
        <f>F44+F46+F50+F48</f>
        <v>0</v>
      </c>
      <c r="G43" s="14">
        <f>G44+G46+G50+G48</f>
        <v>665</v>
      </c>
      <c r="H43" s="3"/>
      <c r="I43" s="136"/>
      <c r="J43" s="163"/>
      <c r="K43" s="163"/>
      <c r="L43" s="3"/>
    </row>
    <row r="44" spans="1:12" ht="15.75">
      <c r="A44" s="16" t="s">
        <v>31</v>
      </c>
      <c r="B44" s="32" t="s">
        <v>148</v>
      </c>
      <c r="C44" s="9" t="s">
        <v>268</v>
      </c>
      <c r="D44" s="9"/>
      <c r="E44" s="10">
        <f>E45</f>
        <v>85</v>
      </c>
      <c r="F44" s="10">
        <f>F45</f>
        <v>0</v>
      </c>
      <c r="G44" s="10">
        <f>G45</f>
        <v>85</v>
      </c>
      <c r="H44" s="3"/>
      <c r="I44" s="136"/>
      <c r="J44" s="163"/>
      <c r="K44" s="163"/>
      <c r="L44" s="3"/>
    </row>
    <row r="45" spans="1:12" ht="31.5">
      <c r="A45" s="86" t="s">
        <v>18</v>
      </c>
      <c r="B45" s="48" t="s">
        <v>148</v>
      </c>
      <c r="C45" s="9" t="s">
        <v>268</v>
      </c>
      <c r="D45" s="48" t="s">
        <v>13</v>
      </c>
      <c r="E45" s="49">
        <v>85</v>
      </c>
      <c r="F45" s="49">
        <v>0</v>
      </c>
      <c r="G45" s="49">
        <f>E45+F45</f>
        <v>85</v>
      </c>
      <c r="H45" s="3"/>
      <c r="I45" s="136"/>
      <c r="J45" s="163"/>
      <c r="K45" s="163"/>
      <c r="L45" s="3"/>
    </row>
    <row r="46" spans="1:12" ht="63">
      <c r="A46" s="16" t="s">
        <v>32</v>
      </c>
      <c r="B46" s="32" t="s">
        <v>148</v>
      </c>
      <c r="C46" s="9" t="s">
        <v>269</v>
      </c>
      <c r="D46" s="9"/>
      <c r="E46" s="10">
        <f>E47</f>
        <v>20</v>
      </c>
      <c r="F46" s="10">
        <f>F47</f>
        <v>0</v>
      </c>
      <c r="G46" s="10">
        <f>G47</f>
        <v>20</v>
      </c>
      <c r="H46" s="3"/>
      <c r="I46" s="136"/>
      <c r="J46" s="163"/>
      <c r="K46" s="163"/>
      <c r="L46" s="3"/>
    </row>
    <row r="47" spans="1:12" ht="15.75">
      <c r="A47" s="51" t="s">
        <v>14</v>
      </c>
      <c r="B47" s="48" t="s">
        <v>148</v>
      </c>
      <c r="C47" s="9" t="s">
        <v>269</v>
      </c>
      <c r="D47" s="48" t="s">
        <v>17</v>
      </c>
      <c r="E47" s="49">
        <v>20</v>
      </c>
      <c r="F47" s="49"/>
      <c r="G47" s="49">
        <f>E47+F47</f>
        <v>20</v>
      </c>
      <c r="H47" s="3"/>
      <c r="I47" s="136"/>
      <c r="J47" s="163"/>
      <c r="K47" s="163"/>
      <c r="L47" s="3"/>
    </row>
    <row r="48" spans="1:12" ht="31.5">
      <c r="A48" s="51" t="s">
        <v>141</v>
      </c>
      <c r="B48" s="48" t="s">
        <v>148</v>
      </c>
      <c r="C48" s="9" t="s">
        <v>388</v>
      </c>
      <c r="D48" s="48"/>
      <c r="E48" s="49">
        <f>E49</f>
        <v>490</v>
      </c>
      <c r="F48" s="49">
        <f>F49</f>
        <v>0</v>
      </c>
      <c r="G48" s="49">
        <f>G49</f>
        <v>490</v>
      </c>
      <c r="H48" s="3"/>
      <c r="I48" s="136"/>
      <c r="J48" s="163"/>
      <c r="K48" s="163"/>
      <c r="L48" s="3"/>
    </row>
    <row r="49" spans="1:12" ht="15.75">
      <c r="A49" s="86" t="s">
        <v>14</v>
      </c>
      <c r="B49" s="48" t="s">
        <v>148</v>
      </c>
      <c r="C49" s="9" t="s">
        <v>388</v>
      </c>
      <c r="D49" s="48" t="s">
        <v>17</v>
      </c>
      <c r="E49" s="49">
        <v>490</v>
      </c>
      <c r="F49" s="49">
        <v>0</v>
      </c>
      <c r="G49" s="49">
        <f>E49+F49</f>
        <v>490</v>
      </c>
      <c r="H49" s="3"/>
      <c r="I49" s="136"/>
      <c r="J49" s="163"/>
      <c r="K49" s="163"/>
      <c r="L49" s="3"/>
    </row>
    <row r="50" spans="1:12" ht="31.5">
      <c r="A50" s="51" t="s">
        <v>141</v>
      </c>
      <c r="B50" s="48" t="s">
        <v>148</v>
      </c>
      <c r="C50" s="9" t="s">
        <v>386</v>
      </c>
      <c r="D50" s="48"/>
      <c r="E50" s="49">
        <f>E51</f>
        <v>70</v>
      </c>
      <c r="F50" s="49">
        <f>F51</f>
        <v>0</v>
      </c>
      <c r="G50" s="49">
        <f>G51</f>
        <v>70</v>
      </c>
      <c r="H50" s="3"/>
      <c r="I50" s="136"/>
      <c r="J50" s="163"/>
      <c r="K50" s="163"/>
      <c r="L50" s="3"/>
    </row>
    <row r="51" spans="1:12" ht="15.75">
      <c r="A51" s="86" t="s">
        <v>14</v>
      </c>
      <c r="B51" s="48" t="s">
        <v>148</v>
      </c>
      <c r="C51" s="9" t="s">
        <v>386</v>
      </c>
      <c r="D51" s="48" t="s">
        <v>17</v>
      </c>
      <c r="E51" s="49">
        <v>70</v>
      </c>
      <c r="F51" s="49">
        <v>0</v>
      </c>
      <c r="G51" s="49">
        <f>E51+F51</f>
        <v>70</v>
      </c>
      <c r="H51" s="3"/>
      <c r="I51" s="136"/>
      <c r="J51" s="163"/>
      <c r="K51" s="163"/>
      <c r="L51" s="3"/>
    </row>
    <row r="52" spans="1:12" ht="31.5">
      <c r="A52" s="12" t="s">
        <v>117</v>
      </c>
      <c r="B52" s="112" t="s">
        <v>148</v>
      </c>
      <c r="C52" s="13" t="s">
        <v>270</v>
      </c>
      <c r="D52" s="13" t="s">
        <v>0</v>
      </c>
      <c r="E52" s="14">
        <f>E61+E53+E56+E59+E63</f>
        <v>24721.9</v>
      </c>
      <c r="F52" s="14">
        <f>F61+F53+F56+F59+F63</f>
        <v>-1950.6</v>
      </c>
      <c r="G52" s="14">
        <f>G61+G53+G56+G59+G63</f>
        <v>22771.3</v>
      </c>
      <c r="H52" s="3"/>
      <c r="I52" s="136"/>
      <c r="J52" s="163"/>
      <c r="K52" s="163"/>
      <c r="L52" s="3"/>
    </row>
    <row r="53" spans="1:12" ht="31.5">
      <c r="A53" s="27" t="s">
        <v>33</v>
      </c>
      <c r="B53" s="48" t="s">
        <v>148</v>
      </c>
      <c r="C53" s="169" t="s">
        <v>370</v>
      </c>
      <c r="D53" s="169"/>
      <c r="E53" s="41">
        <f>E55+E54</f>
        <v>1301.1</v>
      </c>
      <c r="F53" s="41">
        <f>F55+F54</f>
        <v>0</v>
      </c>
      <c r="G53" s="41">
        <f>G55+G54</f>
        <v>1301.1</v>
      </c>
      <c r="H53" s="3"/>
      <c r="I53" s="136"/>
      <c r="J53" s="163"/>
      <c r="K53" s="163"/>
      <c r="L53" s="3"/>
    </row>
    <row r="54" spans="1:12" ht="31.5">
      <c r="A54" s="86" t="s">
        <v>18</v>
      </c>
      <c r="B54" s="48" t="s">
        <v>148</v>
      </c>
      <c r="C54" s="25" t="s">
        <v>436</v>
      </c>
      <c r="D54" s="25" t="s">
        <v>13</v>
      </c>
      <c r="E54" s="41">
        <v>35</v>
      </c>
      <c r="F54" s="41">
        <v>0</v>
      </c>
      <c r="G54" s="41">
        <f>E54+F54</f>
        <v>35</v>
      </c>
      <c r="H54" s="3"/>
      <c r="I54" s="136"/>
      <c r="J54" s="163"/>
      <c r="K54" s="163"/>
      <c r="L54" s="3"/>
    </row>
    <row r="55" spans="1:12" ht="47.25">
      <c r="A55" s="172" t="s">
        <v>34</v>
      </c>
      <c r="B55" s="48" t="s">
        <v>148</v>
      </c>
      <c r="C55" s="169" t="s">
        <v>370</v>
      </c>
      <c r="D55" s="169" t="s">
        <v>35</v>
      </c>
      <c r="E55" s="41">
        <v>1266.1</v>
      </c>
      <c r="F55" s="41"/>
      <c r="G55" s="41">
        <f>E55+F55</f>
        <v>1266.1</v>
      </c>
      <c r="H55" s="3"/>
      <c r="I55" s="136"/>
      <c r="J55" s="163"/>
      <c r="K55" s="163"/>
      <c r="L55" s="3"/>
    </row>
    <row r="56" spans="1:12" ht="47.25">
      <c r="A56" s="27" t="s">
        <v>401</v>
      </c>
      <c r="B56" s="48" t="s">
        <v>148</v>
      </c>
      <c r="C56" s="169" t="s">
        <v>371</v>
      </c>
      <c r="D56" s="169"/>
      <c r="E56" s="41">
        <f>E58+E57</f>
        <v>3646.7</v>
      </c>
      <c r="F56" s="41">
        <f>F58+F57</f>
        <v>-899.1</v>
      </c>
      <c r="G56" s="41">
        <f>G58+G57</f>
        <v>2747.6</v>
      </c>
      <c r="H56" s="3"/>
      <c r="I56" s="136"/>
      <c r="J56" s="163"/>
      <c r="K56" s="163"/>
      <c r="L56" s="3"/>
    </row>
    <row r="57" spans="1:12" ht="31.5">
      <c r="A57" s="86" t="s">
        <v>18</v>
      </c>
      <c r="B57" s="48" t="s">
        <v>148</v>
      </c>
      <c r="C57" s="25" t="s">
        <v>410</v>
      </c>
      <c r="D57" s="25" t="s">
        <v>13</v>
      </c>
      <c r="E57" s="41">
        <v>95</v>
      </c>
      <c r="F57" s="41">
        <v>0</v>
      </c>
      <c r="G57" s="41">
        <f>E57+F57</f>
        <v>95</v>
      </c>
      <c r="H57" s="3"/>
      <c r="I57" s="136"/>
      <c r="J57" s="163"/>
      <c r="K57" s="163"/>
      <c r="L57" s="3"/>
    </row>
    <row r="58" spans="1:12" ht="47.25">
      <c r="A58" s="172" t="s">
        <v>34</v>
      </c>
      <c r="B58" s="48" t="s">
        <v>148</v>
      </c>
      <c r="C58" s="169" t="s">
        <v>371</v>
      </c>
      <c r="D58" s="169" t="s">
        <v>35</v>
      </c>
      <c r="E58" s="41">
        <v>3551.7</v>
      </c>
      <c r="F58" s="41">
        <v>-899.1</v>
      </c>
      <c r="G58" s="41">
        <f>E58+F58</f>
        <v>2652.6</v>
      </c>
      <c r="H58" s="3"/>
      <c r="I58" s="136"/>
      <c r="J58" s="163"/>
      <c r="K58" s="163"/>
      <c r="L58" s="3"/>
    </row>
    <row r="59" spans="1:12" ht="47.25">
      <c r="A59" s="46" t="s">
        <v>389</v>
      </c>
      <c r="B59" s="48" t="s">
        <v>148</v>
      </c>
      <c r="C59" s="25" t="s">
        <v>397</v>
      </c>
      <c r="D59" s="25"/>
      <c r="E59" s="24">
        <f>E60</f>
        <v>9934.1</v>
      </c>
      <c r="F59" s="24">
        <f>F60</f>
        <v>0</v>
      </c>
      <c r="G59" s="24">
        <f>G60</f>
        <v>9934.1</v>
      </c>
      <c r="H59" s="30">
        <f>F59+F63</f>
        <v>-1051.5</v>
      </c>
      <c r="I59" s="136"/>
      <c r="J59" s="163"/>
      <c r="K59" s="163"/>
      <c r="L59" s="3"/>
    </row>
    <row r="60" spans="1:12" ht="47.25">
      <c r="A60" s="26" t="s">
        <v>34</v>
      </c>
      <c r="B60" s="48" t="s">
        <v>148</v>
      </c>
      <c r="C60" s="25" t="s">
        <v>397</v>
      </c>
      <c r="D60" s="48" t="s">
        <v>35</v>
      </c>
      <c r="E60" s="49">
        <v>9934.1</v>
      </c>
      <c r="F60" s="49">
        <v>0</v>
      </c>
      <c r="G60" s="49">
        <f>E60+F60</f>
        <v>9934.1</v>
      </c>
      <c r="H60" s="3"/>
      <c r="I60" s="136"/>
      <c r="J60" s="163"/>
      <c r="K60" s="163"/>
      <c r="L60" s="3"/>
    </row>
    <row r="61" spans="1:12" ht="47.25">
      <c r="A61" s="46" t="s">
        <v>389</v>
      </c>
      <c r="B61" s="48" t="s">
        <v>148</v>
      </c>
      <c r="C61" s="25" t="s">
        <v>340</v>
      </c>
      <c r="D61" s="25"/>
      <c r="E61" s="24">
        <f>E62</f>
        <v>984</v>
      </c>
      <c r="F61" s="24">
        <f>F62</f>
        <v>0</v>
      </c>
      <c r="G61" s="24">
        <f>G62</f>
        <v>984</v>
      </c>
      <c r="H61" s="3"/>
      <c r="I61" s="136"/>
      <c r="J61" s="163"/>
      <c r="K61" s="163"/>
      <c r="L61" s="3"/>
    </row>
    <row r="62" spans="1:12" ht="47.25">
      <c r="A62" s="26" t="s">
        <v>34</v>
      </c>
      <c r="B62" s="48" t="s">
        <v>148</v>
      </c>
      <c r="C62" s="25" t="s">
        <v>340</v>
      </c>
      <c r="D62" s="48" t="s">
        <v>35</v>
      </c>
      <c r="E62" s="49">
        <v>984</v>
      </c>
      <c r="F62" s="49">
        <v>0</v>
      </c>
      <c r="G62" s="49">
        <f>E62+F62</f>
        <v>984</v>
      </c>
      <c r="H62" s="3"/>
      <c r="I62" s="136"/>
      <c r="J62" s="163"/>
      <c r="K62" s="163"/>
      <c r="L62" s="3"/>
    </row>
    <row r="63" spans="1:12" ht="47.25">
      <c r="A63" s="46" t="s">
        <v>389</v>
      </c>
      <c r="B63" s="48" t="s">
        <v>148</v>
      </c>
      <c r="C63" s="25" t="s">
        <v>398</v>
      </c>
      <c r="D63" s="25"/>
      <c r="E63" s="24">
        <f>E64</f>
        <v>8856</v>
      </c>
      <c r="F63" s="24">
        <f>F64</f>
        <v>-1051.5</v>
      </c>
      <c r="G63" s="24">
        <f>G64</f>
        <v>7804.5</v>
      </c>
      <c r="H63" s="3"/>
      <c r="I63" s="136"/>
      <c r="J63" s="163"/>
      <c r="K63" s="163"/>
      <c r="L63" s="3"/>
    </row>
    <row r="64" spans="1:12" ht="47.25">
      <c r="A64" s="26" t="s">
        <v>34</v>
      </c>
      <c r="B64" s="48" t="s">
        <v>148</v>
      </c>
      <c r="C64" s="25" t="s">
        <v>398</v>
      </c>
      <c r="D64" s="48" t="s">
        <v>35</v>
      </c>
      <c r="E64" s="49">
        <v>8856</v>
      </c>
      <c r="F64" s="49">
        <v>-1051.5</v>
      </c>
      <c r="G64" s="49">
        <f>E64+F64</f>
        <v>7804.5</v>
      </c>
      <c r="H64" s="3"/>
      <c r="I64" s="136"/>
      <c r="J64" s="163"/>
      <c r="K64" s="163"/>
      <c r="L64" s="3"/>
    </row>
    <row r="65" spans="1:12" ht="47.25">
      <c r="A65" s="110" t="s">
        <v>98</v>
      </c>
      <c r="B65" s="105" t="s">
        <v>148</v>
      </c>
      <c r="C65" s="104" t="s">
        <v>306</v>
      </c>
      <c r="D65" s="104" t="s">
        <v>0</v>
      </c>
      <c r="E65" s="111">
        <f>E66+E83+E121+E97</f>
        <v>486354.7</v>
      </c>
      <c r="F65" s="111">
        <f>F66+F83+F121+F97</f>
        <v>822.9</v>
      </c>
      <c r="G65" s="111">
        <f>G66+G83+G121+G97</f>
        <v>487177.6</v>
      </c>
      <c r="H65" s="3"/>
      <c r="I65" s="136"/>
      <c r="J65" s="163"/>
      <c r="K65" s="163"/>
      <c r="L65" s="3"/>
    </row>
    <row r="66" spans="1:12" ht="47.25">
      <c r="A66" s="12" t="s">
        <v>114</v>
      </c>
      <c r="B66" s="112" t="s">
        <v>148</v>
      </c>
      <c r="C66" s="13" t="s">
        <v>307</v>
      </c>
      <c r="D66" s="13" t="s">
        <v>0</v>
      </c>
      <c r="E66" s="14">
        <f>E67+E73+E75+E77+E79+E81+E71+E69</f>
        <v>47517.700000000004</v>
      </c>
      <c r="F66" s="14">
        <f>F67+F73+F75+F77+F79+F81+F71+F69</f>
        <v>848.7</v>
      </c>
      <c r="G66" s="14">
        <f>G67+G73+G75+G77+G79+G81+G71+G69</f>
        <v>48366.4</v>
      </c>
      <c r="H66" s="3"/>
      <c r="I66" s="136"/>
      <c r="J66" s="163"/>
      <c r="K66" s="163"/>
      <c r="L66" s="3"/>
    </row>
    <row r="67" spans="1:12" ht="31.5">
      <c r="A67" s="16" t="s">
        <v>89</v>
      </c>
      <c r="B67" s="32" t="s">
        <v>148</v>
      </c>
      <c r="C67" s="48" t="s">
        <v>308</v>
      </c>
      <c r="D67" s="9"/>
      <c r="E67" s="10">
        <f>E68</f>
        <v>9555.1</v>
      </c>
      <c r="F67" s="10">
        <f>F68</f>
        <v>0</v>
      </c>
      <c r="G67" s="10">
        <f>G68</f>
        <v>9555.1</v>
      </c>
      <c r="H67" s="3"/>
      <c r="I67" s="136"/>
      <c r="J67" s="163"/>
      <c r="K67" s="163"/>
      <c r="L67" s="3"/>
    </row>
    <row r="68" spans="1:12" ht="31.5">
      <c r="A68" s="86" t="s">
        <v>18</v>
      </c>
      <c r="B68" s="48" t="s">
        <v>148</v>
      </c>
      <c r="C68" s="48" t="s">
        <v>308</v>
      </c>
      <c r="D68" s="48" t="s">
        <v>13</v>
      </c>
      <c r="E68" s="49">
        <v>9555.1</v>
      </c>
      <c r="F68" s="49">
        <v>0</v>
      </c>
      <c r="G68" s="49">
        <f>E68+F68</f>
        <v>9555.1</v>
      </c>
      <c r="H68" s="3"/>
      <c r="I68" s="136"/>
      <c r="J68" s="163"/>
      <c r="K68" s="163"/>
      <c r="L68" s="3"/>
    </row>
    <row r="69" spans="1:12" ht="31.5">
      <c r="A69" s="16" t="s">
        <v>99</v>
      </c>
      <c r="B69" s="48" t="s">
        <v>148</v>
      </c>
      <c r="C69" s="48" t="s">
        <v>400</v>
      </c>
      <c r="D69" s="48"/>
      <c r="E69" s="49">
        <f>E70</f>
        <v>1772.4</v>
      </c>
      <c r="F69" s="49">
        <f>F70</f>
        <v>0</v>
      </c>
      <c r="G69" s="49">
        <f>G70</f>
        <v>1772.4</v>
      </c>
      <c r="H69" s="3"/>
      <c r="I69" s="136"/>
      <c r="J69" s="163"/>
      <c r="K69" s="163"/>
      <c r="L69" s="3"/>
    </row>
    <row r="70" spans="1:12" ht="15.75">
      <c r="A70" s="86" t="s">
        <v>14</v>
      </c>
      <c r="B70" s="48" t="s">
        <v>148</v>
      </c>
      <c r="C70" s="48" t="s">
        <v>400</v>
      </c>
      <c r="D70" s="48" t="s">
        <v>17</v>
      </c>
      <c r="E70" s="49">
        <v>1772.4</v>
      </c>
      <c r="F70" s="49">
        <v>0</v>
      </c>
      <c r="G70" s="49">
        <f>SUM(E70:F70)</f>
        <v>1772.4</v>
      </c>
      <c r="H70" s="3"/>
      <c r="I70" s="136"/>
      <c r="J70" s="163"/>
      <c r="K70" s="163"/>
      <c r="L70" s="3"/>
    </row>
    <row r="71" spans="1:12" ht="31.5">
      <c r="A71" s="16" t="s">
        <v>99</v>
      </c>
      <c r="B71" s="48" t="s">
        <v>148</v>
      </c>
      <c r="C71" s="48" t="s">
        <v>378</v>
      </c>
      <c r="D71" s="48"/>
      <c r="E71" s="49">
        <f>E72</f>
        <v>1922.9</v>
      </c>
      <c r="F71" s="49">
        <f>F72</f>
        <v>0</v>
      </c>
      <c r="G71" s="49">
        <f>G72</f>
        <v>1922.9</v>
      </c>
      <c r="H71" s="3"/>
      <c r="I71" s="136"/>
      <c r="J71" s="163"/>
      <c r="K71" s="163"/>
      <c r="L71" s="3"/>
    </row>
    <row r="72" spans="1:12" ht="15.75">
      <c r="A72" s="86" t="s">
        <v>14</v>
      </c>
      <c r="B72" s="48" t="s">
        <v>148</v>
      </c>
      <c r="C72" s="48" t="s">
        <v>378</v>
      </c>
      <c r="D72" s="48" t="s">
        <v>17</v>
      </c>
      <c r="E72" s="49">
        <v>1922.9</v>
      </c>
      <c r="F72" s="49">
        <v>0</v>
      </c>
      <c r="G72" s="49">
        <f>SUM(E72:F72)</f>
        <v>1922.9</v>
      </c>
      <c r="H72" s="3"/>
      <c r="I72" s="136"/>
      <c r="J72" s="163"/>
      <c r="K72" s="163"/>
      <c r="L72" s="3"/>
    </row>
    <row r="73" spans="1:12" ht="31.5">
      <c r="A73" s="114" t="s">
        <v>99</v>
      </c>
      <c r="B73" s="48" t="s">
        <v>148</v>
      </c>
      <c r="C73" s="48" t="s">
        <v>346</v>
      </c>
      <c r="D73" s="48"/>
      <c r="E73" s="49">
        <f>E74</f>
        <v>2039</v>
      </c>
      <c r="F73" s="49">
        <f>F74</f>
        <v>0</v>
      </c>
      <c r="G73" s="49">
        <f>G74</f>
        <v>2039</v>
      </c>
      <c r="H73" s="3"/>
      <c r="I73" s="136"/>
      <c r="J73" s="163"/>
      <c r="K73" s="163"/>
      <c r="L73" s="3"/>
    </row>
    <row r="74" spans="1:12" ht="15.75">
      <c r="A74" s="115" t="s">
        <v>14</v>
      </c>
      <c r="B74" s="48" t="s">
        <v>148</v>
      </c>
      <c r="C74" s="48" t="s">
        <v>346</v>
      </c>
      <c r="D74" s="48" t="s">
        <v>17</v>
      </c>
      <c r="E74" s="49">
        <v>2039</v>
      </c>
      <c r="F74" s="49">
        <v>0</v>
      </c>
      <c r="G74" s="49">
        <f>E74+F74</f>
        <v>2039</v>
      </c>
      <c r="H74" s="30"/>
      <c r="I74" s="136"/>
      <c r="J74" s="163"/>
      <c r="K74" s="163"/>
      <c r="L74" s="3"/>
    </row>
    <row r="75" spans="1:12" ht="47.25">
      <c r="A75" s="16" t="s">
        <v>90</v>
      </c>
      <c r="B75" s="32" t="s">
        <v>148</v>
      </c>
      <c r="C75" s="48" t="s">
        <v>309</v>
      </c>
      <c r="D75" s="11"/>
      <c r="E75" s="10">
        <f>E76</f>
        <v>150</v>
      </c>
      <c r="F75" s="10">
        <f>F76</f>
        <v>0</v>
      </c>
      <c r="G75" s="10">
        <f>G76</f>
        <v>150</v>
      </c>
      <c r="H75" s="3"/>
      <c r="I75" s="136"/>
      <c r="J75" s="163"/>
      <c r="K75" s="163"/>
      <c r="L75" s="3"/>
    </row>
    <row r="76" spans="1:12" ht="31.5">
      <c r="A76" s="86" t="s">
        <v>18</v>
      </c>
      <c r="B76" s="48" t="s">
        <v>148</v>
      </c>
      <c r="C76" s="48" t="s">
        <v>309</v>
      </c>
      <c r="D76" s="48" t="s">
        <v>13</v>
      </c>
      <c r="E76" s="49">
        <v>150</v>
      </c>
      <c r="F76" s="257"/>
      <c r="G76" s="49">
        <f>E76+F76</f>
        <v>150</v>
      </c>
      <c r="H76" s="30"/>
      <c r="I76" s="136"/>
      <c r="J76" s="163"/>
      <c r="K76" s="163"/>
      <c r="L76" s="3"/>
    </row>
    <row r="77" spans="1:12" ht="47.25">
      <c r="A77" s="20" t="s">
        <v>67</v>
      </c>
      <c r="B77" s="48" t="s">
        <v>148</v>
      </c>
      <c r="C77" s="48" t="s">
        <v>310</v>
      </c>
      <c r="D77" s="11"/>
      <c r="E77" s="10">
        <f>E78</f>
        <v>29366.6</v>
      </c>
      <c r="F77" s="10">
        <f>F78</f>
        <v>0</v>
      </c>
      <c r="G77" s="10">
        <f>G78</f>
        <v>29366.6</v>
      </c>
      <c r="H77" s="3"/>
      <c r="I77" s="136"/>
      <c r="J77" s="163"/>
      <c r="K77" s="163"/>
      <c r="L77" s="3"/>
    </row>
    <row r="78" spans="1:12" ht="31.5">
      <c r="A78" s="86" t="s">
        <v>18</v>
      </c>
      <c r="B78" s="48" t="s">
        <v>148</v>
      </c>
      <c r="C78" s="48" t="s">
        <v>310</v>
      </c>
      <c r="D78" s="48" t="s">
        <v>13</v>
      </c>
      <c r="E78" s="49">
        <v>29366.6</v>
      </c>
      <c r="F78" s="49">
        <v>0</v>
      </c>
      <c r="G78" s="49">
        <f>E78+F78</f>
        <v>29366.6</v>
      </c>
      <c r="H78" s="3"/>
      <c r="I78" s="136"/>
      <c r="J78" s="163"/>
      <c r="K78" s="163"/>
      <c r="L78" s="3"/>
    </row>
    <row r="79" spans="1:12" ht="78.75">
      <c r="A79" s="46" t="s">
        <v>379</v>
      </c>
      <c r="B79" s="48" t="s">
        <v>148</v>
      </c>
      <c r="C79" s="48" t="s">
        <v>322</v>
      </c>
      <c r="D79" s="71"/>
      <c r="E79" s="24">
        <f>E80</f>
        <v>585.3000000000001</v>
      </c>
      <c r="F79" s="24">
        <f>F80</f>
        <v>0</v>
      </c>
      <c r="G79" s="24">
        <f>G80</f>
        <v>585.3000000000001</v>
      </c>
      <c r="H79" s="3"/>
      <c r="I79" s="136"/>
      <c r="J79" s="163"/>
      <c r="K79" s="163"/>
      <c r="L79" s="3"/>
    </row>
    <row r="80" spans="1:12" ht="31.5">
      <c r="A80" s="113" t="s">
        <v>18</v>
      </c>
      <c r="B80" s="48" t="s">
        <v>148</v>
      </c>
      <c r="C80" s="48" t="s">
        <v>322</v>
      </c>
      <c r="D80" s="48" t="s">
        <v>13</v>
      </c>
      <c r="E80" s="49">
        <v>585.3000000000001</v>
      </c>
      <c r="F80" s="49"/>
      <c r="G80" s="49">
        <f>E80+F80</f>
        <v>585.3000000000001</v>
      </c>
      <c r="H80" s="3"/>
      <c r="I80" s="136"/>
      <c r="J80" s="163"/>
      <c r="K80" s="163"/>
      <c r="L80" s="3"/>
    </row>
    <row r="81" spans="1:12" ht="63">
      <c r="A81" s="46" t="s">
        <v>109</v>
      </c>
      <c r="B81" s="48" t="s">
        <v>148</v>
      </c>
      <c r="C81" s="48" t="s">
        <v>321</v>
      </c>
      <c r="D81" s="71"/>
      <c r="E81" s="24">
        <f>E82</f>
        <v>2126.4</v>
      </c>
      <c r="F81" s="24">
        <f>F82</f>
        <v>848.7</v>
      </c>
      <c r="G81" s="24">
        <f>G82</f>
        <v>2975.1000000000004</v>
      </c>
      <c r="H81" s="3"/>
      <c r="I81" s="136"/>
      <c r="J81" s="163"/>
      <c r="K81" s="163"/>
      <c r="L81" s="3"/>
    </row>
    <row r="82" spans="1:12" ht="15.75">
      <c r="A82" s="86" t="s">
        <v>14</v>
      </c>
      <c r="B82" s="48" t="s">
        <v>148</v>
      </c>
      <c r="C82" s="48" t="s">
        <v>321</v>
      </c>
      <c r="D82" s="48" t="s">
        <v>17</v>
      </c>
      <c r="E82" s="49">
        <v>2126.4</v>
      </c>
      <c r="F82" s="49">
        <v>848.7</v>
      </c>
      <c r="G82" s="49">
        <f>E82+F82</f>
        <v>2975.1000000000004</v>
      </c>
      <c r="H82" s="3"/>
      <c r="I82" s="136"/>
      <c r="J82" s="163"/>
      <c r="K82" s="163"/>
      <c r="L82" s="3"/>
    </row>
    <row r="83" spans="1:12" ht="63">
      <c r="A83" s="12" t="s">
        <v>149</v>
      </c>
      <c r="B83" s="112" t="s">
        <v>148</v>
      </c>
      <c r="C83" s="13" t="s">
        <v>311</v>
      </c>
      <c r="D83" s="13" t="s">
        <v>0</v>
      </c>
      <c r="E83" s="14">
        <f>E94+E88+E91+E84+E86</f>
        <v>386424.8</v>
      </c>
      <c r="F83" s="14">
        <f>F94+F88+F91+F84+F86</f>
        <v>568.8</v>
      </c>
      <c r="G83" s="14">
        <f>G94+G88+G91+G84+G86</f>
        <v>386993.6</v>
      </c>
      <c r="H83" s="3"/>
      <c r="I83" s="136"/>
      <c r="J83" s="163"/>
      <c r="K83" s="163"/>
      <c r="L83" s="3"/>
    </row>
    <row r="84" spans="1:12" ht="63">
      <c r="A84" s="174" t="s">
        <v>377</v>
      </c>
      <c r="B84" s="48" t="s">
        <v>148</v>
      </c>
      <c r="C84" s="25" t="s">
        <v>376</v>
      </c>
      <c r="D84" s="25"/>
      <c r="E84" s="24">
        <f>E85</f>
        <v>7214.8</v>
      </c>
      <c r="F84" s="24">
        <f>F85</f>
        <v>0</v>
      </c>
      <c r="G84" s="24">
        <f>G85</f>
        <v>7214.8</v>
      </c>
      <c r="H84" s="3"/>
      <c r="I84" s="136"/>
      <c r="J84" s="163"/>
      <c r="K84" s="163"/>
      <c r="L84" s="3"/>
    </row>
    <row r="85" spans="1:12" ht="47.25">
      <c r="A85" s="53" t="s">
        <v>40</v>
      </c>
      <c r="B85" s="48" t="s">
        <v>148</v>
      </c>
      <c r="C85" s="25" t="s">
        <v>376</v>
      </c>
      <c r="D85" s="25" t="s">
        <v>35</v>
      </c>
      <c r="E85" s="24">
        <v>7214.8</v>
      </c>
      <c r="F85" s="257"/>
      <c r="G85" s="24">
        <f>E85+F85</f>
        <v>7214.8</v>
      </c>
      <c r="H85" s="3"/>
      <c r="I85" s="136"/>
      <c r="J85" s="163"/>
      <c r="K85" s="163"/>
      <c r="L85" s="3"/>
    </row>
    <row r="86" spans="1:12" ht="31.5">
      <c r="A86" s="157" t="s">
        <v>416</v>
      </c>
      <c r="B86" s="48" t="s">
        <v>148</v>
      </c>
      <c r="C86" s="25" t="s">
        <v>417</v>
      </c>
      <c r="D86" s="25"/>
      <c r="E86" s="24">
        <f>E87</f>
        <v>2251.8</v>
      </c>
      <c r="F86" s="24">
        <f>F87</f>
        <v>29</v>
      </c>
      <c r="G86" s="24">
        <f>G87</f>
        <v>2280.8</v>
      </c>
      <c r="H86" s="3"/>
      <c r="I86" s="136"/>
      <c r="J86" s="163"/>
      <c r="K86" s="163"/>
      <c r="L86" s="3"/>
    </row>
    <row r="87" spans="1:12" ht="31.5">
      <c r="A87" s="26" t="s">
        <v>18</v>
      </c>
      <c r="B87" s="48" t="s">
        <v>148</v>
      </c>
      <c r="C87" s="25" t="s">
        <v>417</v>
      </c>
      <c r="D87" s="25" t="s">
        <v>13</v>
      </c>
      <c r="E87" s="24">
        <v>2251.8</v>
      </c>
      <c r="F87" s="24">
        <v>29</v>
      </c>
      <c r="G87" s="24">
        <f>E87+F87</f>
        <v>2280.8</v>
      </c>
      <c r="H87" s="3"/>
      <c r="I87" s="136"/>
      <c r="J87" s="163"/>
      <c r="K87" s="163"/>
      <c r="L87" s="3"/>
    </row>
    <row r="88" spans="1:12" ht="78.75">
      <c r="A88" s="157" t="s">
        <v>350</v>
      </c>
      <c r="B88" s="48" t="s">
        <v>148</v>
      </c>
      <c r="C88" s="48" t="s">
        <v>351</v>
      </c>
      <c r="D88" s="48"/>
      <c r="E88" s="49">
        <f>E89+E90</f>
        <v>92407.09999999998</v>
      </c>
      <c r="F88" s="49">
        <f>F89+F90</f>
        <v>0</v>
      </c>
      <c r="G88" s="49">
        <f>G89+G90</f>
        <v>92407.09999999998</v>
      </c>
      <c r="H88" s="3"/>
      <c r="I88" s="136"/>
      <c r="J88" s="163"/>
      <c r="K88" s="163"/>
      <c r="L88" s="3"/>
    </row>
    <row r="89" spans="1:12" ht="47.25">
      <c r="A89" s="26" t="s">
        <v>40</v>
      </c>
      <c r="B89" s="48" t="s">
        <v>148</v>
      </c>
      <c r="C89" s="48" t="s">
        <v>351</v>
      </c>
      <c r="D89" s="48" t="s">
        <v>35</v>
      </c>
      <c r="E89" s="49">
        <v>92191.99999999997</v>
      </c>
      <c r="F89" s="49">
        <v>0</v>
      </c>
      <c r="G89" s="49">
        <f>E89+F89</f>
        <v>92191.99999999997</v>
      </c>
      <c r="H89" s="30">
        <f>F89+F329+F69+F93</f>
        <v>0</v>
      </c>
      <c r="I89" s="136"/>
      <c r="J89" s="163"/>
      <c r="K89" s="163"/>
      <c r="L89" s="3"/>
    </row>
    <row r="90" spans="1:12" ht="15.75">
      <c r="A90" s="157" t="s">
        <v>14</v>
      </c>
      <c r="B90" s="48" t="s">
        <v>148</v>
      </c>
      <c r="C90" s="48" t="s">
        <v>351</v>
      </c>
      <c r="D90" s="48" t="s">
        <v>17</v>
      </c>
      <c r="E90" s="49">
        <v>215.1</v>
      </c>
      <c r="F90" s="49">
        <v>0</v>
      </c>
      <c r="G90" s="49">
        <f>E90+F90</f>
        <v>215.1</v>
      </c>
      <c r="H90" s="3"/>
      <c r="I90" s="136"/>
      <c r="J90" s="163"/>
      <c r="K90" s="163"/>
      <c r="L90" s="3"/>
    </row>
    <row r="91" spans="1:12" ht="78.75">
      <c r="A91" s="26" t="s">
        <v>352</v>
      </c>
      <c r="B91" s="48" t="s">
        <v>148</v>
      </c>
      <c r="C91" s="48" t="s">
        <v>328</v>
      </c>
      <c r="D91" s="48"/>
      <c r="E91" s="49">
        <f>E92+E93</f>
        <v>98083.2</v>
      </c>
      <c r="F91" s="49">
        <f>F92+F93</f>
        <v>0</v>
      </c>
      <c r="G91" s="49">
        <f>G92+G93</f>
        <v>98083.2</v>
      </c>
      <c r="H91" s="30">
        <f>G88+G91+G94</f>
        <v>377498</v>
      </c>
      <c r="I91" s="136"/>
      <c r="J91" s="163"/>
      <c r="K91" s="163"/>
      <c r="L91" s="3"/>
    </row>
    <row r="92" spans="1:12" ht="47.25">
      <c r="A92" s="26" t="s">
        <v>40</v>
      </c>
      <c r="B92" s="48" t="s">
        <v>148</v>
      </c>
      <c r="C92" s="48" t="s">
        <v>328</v>
      </c>
      <c r="D92" s="48" t="s">
        <v>35</v>
      </c>
      <c r="E92" s="49">
        <v>97560.8</v>
      </c>
      <c r="F92" s="49">
        <v>0</v>
      </c>
      <c r="G92" s="49">
        <f>E92+F92</f>
        <v>97560.8</v>
      </c>
      <c r="H92" s="3"/>
      <c r="I92" s="136"/>
      <c r="J92" s="163"/>
      <c r="K92" s="163"/>
      <c r="L92" s="3"/>
    </row>
    <row r="93" spans="1:12" ht="15.75">
      <c r="A93" s="65" t="s">
        <v>14</v>
      </c>
      <c r="B93" s="48" t="s">
        <v>148</v>
      </c>
      <c r="C93" s="48" t="s">
        <v>328</v>
      </c>
      <c r="D93" s="48" t="s">
        <v>17</v>
      </c>
      <c r="E93" s="49">
        <v>522.4</v>
      </c>
      <c r="F93" s="49">
        <v>0</v>
      </c>
      <c r="G93" s="49">
        <f>E93+F93</f>
        <v>522.4</v>
      </c>
      <c r="H93" s="3"/>
      <c r="I93" s="136"/>
      <c r="J93" s="163"/>
      <c r="K93" s="163"/>
      <c r="L93" s="3"/>
    </row>
    <row r="94" spans="1:12" ht="78.75">
      <c r="A94" s="26" t="s">
        <v>327</v>
      </c>
      <c r="B94" s="48" t="s">
        <v>148</v>
      </c>
      <c r="C94" s="48" t="s">
        <v>345</v>
      </c>
      <c r="D94" s="48"/>
      <c r="E94" s="49">
        <f>E95+E96</f>
        <v>186467.90000000002</v>
      </c>
      <c r="F94" s="49">
        <f>F95+F96</f>
        <v>539.8</v>
      </c>
      <c r="G94" s="49">
        <f>G95+G96</f>
        <v>187007.7</v>
      </c>
      <c r="H94" s="3"/>
      <c r="I94" s="136"/>
      <c r="J94" s="163"/>
      <c r="K94" s="163"/>
      <c r="L94" s="3"/>
    </row>
    <row r="95" spans="1:12" ht="47.25">
      <c r="A95" s="26" t="s">
        <v>40</v>
      </c>
      <c r="B95" s="48" t="s">
        <v>148</v>
      </c>
      <c r="C95" s="48" t="s">
        <v>345</v>
      </c>
      <c r="D95" s="48" t="s">
        <v>35</v>
      </c>
      <c r="E95" s="49">
        <v>186405.30000000002</v>
      </c>
      <c r="F95" s="49">
        <f>539.8</f>
        <v>539.8</v>
      </c>
      <c r="G95" s="49">
        <f>E95+F95</f>
        <v>186945.1</v>
      </c>
      <c r="H95" s="3"/>
      <c r="I95" s="136"/>
      <c r="J95" s="163"/>
      <c r="K95" s="163"/>
      <c r="L95" s="3"/>
    </row>
    <row r="96" spans="1:12" ht="15.75">
      <c r="A96" s="26" t="s">
        <v>14</v>
      </c>
      <c r="B96" s="48" t="s">
        <v>148</v>
      </c>
      <c r="C96" s="48" t="s">
        <v>345</v>
      </c>
      <c r="D96" s="48" t="s">
        <v>17</v>
      </c>
      <c r="E96" s="49">
        <v>62.6</v>
      </c>
      <c r="F96" s="49"/>
      <c r="G96" s="49">
        <f>E96+F96</f>
        <v>62.6</v>
      </c>
      <c r="H96" s="3"/>
      <c r="I96" s="136"/>
      <c r="J96" s="163"/>
      <c r="K96" s="163"/>
      <c r="L96" s="3"/>
    </row>
    <row r="97" spans="1:12" ht="31.5">
      <c r="A97" s="12" t="s">
        <v>91</v>
      </c>
      <c r="B97" s="112" t="s">
        <v>148</v>
      </c>
      <c r="C97" s="13" t="s">
        <v>312</v>
      </c>
      <c r="D97" s="13" t="s">
        <v>0</v>
      </c>
      <c r="E97" s="14">
        <f>E98+E102+E106+E108+E113+E119+E104+E100+E117+E115+E111</f>
        <v>51935</v>
      </c>
      <c r="F97" s="14">
        <f>F98+F102+F106+F108+F113+F119+F104+F100+F117+F115+F111</f>
        <v>-594.6</v>
      </c>
      <c r="G97" s="14">
        <f>G98+G102+G106+G108+G113+G119+G104+G100+G117+G115+G111</f>
        <v>51340.399999999994</v>
      </c>
      <c r="H97" s="30">
        <f>G97-G111</f>
        <v>26905.799999999996</v>
      </c>
      <c r="I97" s="136"/>
      <c r="J97" s="163"/>
      <c r="K97" s="163"/>
      <c r="L97" s="3"/>
    </row>
    <row r="98" spans="1:12" ht="47.25">
      <c r="A98" s="16" t="s">
        <v>54</v>
      </c>
      <c r="B98" s="48" t="s">
        <v>148</v>
      </c>
      <c r="C98" s="48" t="s">
        <v>313</v>
      </c>
      <c r="D98" s="71"/>
      <c r="E98" s="49">
        <f>E99</f>
        <v>939.8999999999999</v>
      </c>
      <c r="F98" s="49">
        <f>F99</f>
        <v>100</v>
      </c>
      <c r="G98" s="49">
        <f>G99</f>
        <v>1039.8999999999999</v>
      </c>
      <c r="H98" s="3"/>
      <c r="I98" s="136"/>
      <c r="J98" s="163"/>
      <c r="K98" s="163"/>
      <c r="L98" s="3"/>
    </row>
    <row r="99" spans="1:12" ht="31.5">
      <c r="A99" s="86" t="s">
        <v>18</v>
      </c>
      <c r="B99" s="48" t="s">
        <v>148</v>
      </c>
      <c r="C99" s="48" t="s">
        <v>313</v>
      </c>
      <c r="D99" s="48" t="s">
        <v>13</v>
      </c>
      <c r="E99" s="56">
        <v>939.8999999999999</v>
      </c>
      <c r="F99" s="56">
        <v>100</v>
      </c>
      <c r="G99" s="56">
        <f>E99+F99</f>
        <v>1039.8999999999999</v>
      </c>
      <c r="H99" s="3"/>
      <c r="I99" s="136"/>
      <c r="J99" s="163"/>
      <c r="K99" s="163"/>
      <c r="L99" s="3"/>
    </row>
    <row r="100" spans="1:12" ht="47.25">
      <c r="A100" s="16" t="s">
        <v>54</v>
      </c>
      <c r="B100" s="48" t="s">
        <v>148</v>
      </c>
      <c r="C100" s="17" t="s">
        <v>324</v>
      </c>
      <c r="D100" s="17"/>
      <c r="E100" s="19">
        <f>E101</f>
        <v>3273.4</v>
      </c>
      <c r="F100" s="19">
        <f>F101</f>
        <v>0</v>
      </c>
      <c r="G100" s="19">
        <f>G101</f>
        <v>3273.4</v>
      </c>
      <c r="H100" s="3"/>
      <c r="I100" s="136"/>
      <c r="J100" s="163"/>
      <c r="K100" s="163"/>
      <c r="L100" s="3"/>
    </row>
    <row r="101" spans="1:12" ht="31.5">
      <c r="A101" s="16" t="s">
        <v>18</v>
      </c>
      <c r="B101" s="48" t="s">
        <v>148</v>
      </c>
      <c r="C101" s="17" t="s">
        <v>324</v>
      </c>
      <c r="D101" s="17" t="s">
        <v>13</v>
      </c>
      <c r="E101" s="19">
        <v>3273.4</v>
      </c>
      <c r="F101" s="19">
        <v>0</v>
      </c>
      <c r="G101" s="19">
        <f>E101+F101</f>
        <v>3273.4</v>
      </c>
      <c r="H101" s="3"/>
      <c r="I101" s="136"/>
      <c r="J101" s="163"/>
      <c r="K101" s="163"/>
      <c r="L101" s="3"/>
    </row>
    <row r="102" spans="1:12" ht="47.25">
      <c r="A102" s="16" t="s">
        <v>54</v>
      </c>
      <c r="B102" s="48" t="s">
        <v>148</v>
      </c>
      <c r="C102" s="17" t="s">
        <v>336</v>
      </c>
      <c r="D102" s="17"/>
      <c r="E102" s="19">
        <f>E103</f>
        <v>490.6</v>
      </c>
      <c r="F102" s="19">
        <f>F103</f>
        <v>0</v>
      </c>
      <c r="G102" s="19">
        <f>G103</f>
        <v>490.6</v>
      </c>
      <c r="H102" s="139"/>
      <c r="I102" s="136"/>
      <c r="J102" s="163"/>
      <c r="K102" s="163"/>
      <c r="L102" s="3"/>
    </row>
    <row r="103" spans="1:12" ht="31.5">
      <c r="A103" s="86" t="s">
        <v>18</v>
      </c>
      <c r="B103" s="48" t="s">
        <v>148</v>
      </c>
      <c r="C103" s="17" t="s">
        <v>336</v>
      </c>
      <c r="D103" s="48" t="s">
        <v>13</v>
      </c>
      <c r="E103" s="49">
        <v>490.6</v>
      </c>
      <c r="F103" s="49"/>
      <c r="G103" s="49">
        <f>E103+F103</f>
        <v>490.6</v>
      </c>
      <c r="H103" s="139"/>
      <c r="I103" s="136"/>
      <c r="J103" s="163"/>
      <c r="K103" s="163"/>
      <c r="L103" s="3"/>
    </row>
    <row r="104" spans="1:12" ht="31.5">
      <c r="A104" s="46" t="s">
        <v>55</v>
      </c>
      <c r="B104" s="48" t="s">
        <v>148</v>
      </c>
      <c r="C104" s="25" t="s">
        <v>314</v>
      </c>
      <c r="D104" s="25"/>
      <c r="E104" s="49">
        <f>E105</f>
        <v>221.6</v>
      </c>
      <c r="F104" s="49">
        <f>F105</f>
        <v>0</v>
      </c>
      <c r="G104" s="49">
        <f>G105</f>
        <v>221.6</v>
      </c>
      <c r="H104" s="139"/>
      <c r="I104" s="136"/>
      <c r="J104" s="163"/>
      <c r="K104" s="163"/>
      <c r="L104" s="3"/>
    </row>
    <row r="105" spans="1:12" ht="31.5">
      <c r="A105" s="86" t="s">
        <v>18</v>
      </c>
      <c r="B105" s="48" t="s">
        <v>148</v>
      </c>
      <c r="C105" s="25" t="s">
        <v>314</v>
      </c>
      <c r="D105" s="25" t="s">
        <v>13</v>
      </c>
      <c r="E105" s="49">
        <v>221.6</v>
      </c>
      <c r="F105" s="49"/>
      <c r="G105" s="49">
        <f>E105+F105</f>
        <v>221.6</v>
      </c>
      <c r="H105" s="139"/>
      <c r="I105" s="136"/>
      <c r="J105" s="163"/>
      <c r="K105" s="163"/>
      <c r="L105" s="3"/>
    </row>
    <row r="106" spans="1:12" ht="31.5">
      <c r="A106" s="46" t="s">
        <v>55</v>
      </c>
      <c r="B106" s="48" t="s">
        <v>148</v>
      </c>
      <c r="C106" s="17" t="s">
        <v>337</v>
      </c>
      <c r="D106" s="48"/>
      <c r="E106" s="49">
        <f>E107</f>
        <v>246.79999999999998</v>
      </c>
      <c r="F106" s="49">
        <f>F107</f>
        <v>0</v>
      </c>
      <c r="G106" s="49">
        <f>G107</f>
        <v>246.79999999999998</v>
      </c>
      <c r="H106" s="139"/>
      <c r="I106" s="136"/>
      <c r="J106" s="163"/>
      <c r="K106" s="163"/>
      <c r="L106" s="3"/>
    </row>
    <row r="107" spans="1:12" ht="31.5">
      <c r="A107" s="86" t="s">
        <v>18</v>
      </c>
      <c r="B107" s="48" t="s">
        <v>148</v>
      </c>
      <c r="C107" s="17" t="s">
        <v>337</v>
      </c>
      <c r="D107" s="48" t="s">
        <v>13</v>
      </c>
      <c r="E107" s="49">
        <v>246.79999999999998</v>
      </c>
      <c r="F107" s="49"/>
      <c r="G107" s="49">
        <f>E107+F107</f>
        <v>246.79999999999998</v>
      </c>
      <c r="H107" s="3"/>
      <c r="I107" s="136"/>
      <c r="J107" s="163"/>
      <c r="K107" s="163"/>
      <c r="L107" s="3"/>
    </row>
    <row r="108" spans="1:12" ht="31.5">
      <c r="A108" s="16" t="s">
        <v>55</v>
      </c>
      <c r="B108" s="32" t="s">
        <v>148</v>
      </c>
      <c r="C108" s="48" t="s">
        <v>323</v>
      </c>
      <c r="D108" s="17"/>
      <c r="E108" s="74">
        <f>E109+E110</f>
        <v>14371.199999999999</v>
      </c>
      <c r="F108" s="74">
        <f>F109+F110</f>
        <v>0</v>
      </c>
      <c r="G108" s="74">
        <f>G109+G110</f>
        <v>14371.199999999999</v>
      </c>
      <c r="H108" s="3"/>
      <c r="I108" s="136"/>
      <c r="J108" s="163"/>
      <c r="K108" s="163"/>
      <c r="L108" s="3"/>
    </row>
    <row r="109" spans="1:12" ht="31.5">
      <c r="A109" s="86" t="s">
        <v>18</v>
      </c>
      <c r="B109" s="48" t="s">
        <v>148</v>
      </c>
      <c r="C109" s="48" t="s">
        <v>323</v>
      </c>
      <c r="D109" s="48" t="s">
        <v>13</v>
      </c>
      <c r="E109" s="49">
        <v>12409.3</v>
      </c>
      <c r="F109" s="49"/>
      <c r="G109" s="49">
        <f>E109+F109</f>
        <v>12409.3</v>
      </c>
      <c r="H109" s="3"/>
      <c r="I109" s="136"/>
      <c r="J109" s="163"/>
      <c r="K109" s="163"/>
      <c r="L109" s="3"/>
    </row>
    <row r="110" spans="1:12" ht="15.75">
      <c r="A110" s="53" t="s">
        <v>61</v>
      </c>
      <c r="B110" s="48" t="s">
        <v>148</v>
      </c>
      <c r="C110" s="48" t="s">
        <v>323</v>
      </c>
      <c r="D110" s="48" t="s">
        <v>62</v>
      </c>
      <c r="E110" s="49">
        <v>1961.9</v>
      </c>
      <c r="F110" s="49">
        <v>0</v>
      </c>
      <c r="G110" s="49">
        <f>E110+F110</f>
        <v>1961.9</v>
      </c>
      <c r="H110" s="3"/>
      <c r="I110" s="136"/>
      <c r="J110" s="163"/>
      <c r="K110" s="163"/>
      <c r="L110" s="3"/>
    </row>
    <row r="111" spans="1:12" ht="47.25">
      <c r="A111" s="46" t="s">
        <v>88</v>
      </c>
      <c r="B111" s="48" t="s">
        <v>148</v>
      </c>
      <c r="C111" s="17" t="s">
        <v>409</v>
      </c>
      <c r="D111" s="48"/>
      <c r="E111" s="49">
        <f>E112</f>
        <v>24434.6</v>
      </c>
      <c r="F111" s="49">
        <f>F112</f>
        <v>0</v>
      </c>
      <c r="G111" s="49">
        <f>G112</f>
        <v>24434.6</v>
      </c>
      <c r="H111" s="3"/>
      <c r="I111" s="136"/>
      <c r="J111" s="163"/>
      <c r="K111" s="163"/>
      <c r="L111" s="3"/>
    </row>
    <row r="112" spans="1:12" ht="15.75">
      <c r="A112" s="53" t="s">
        <v>61</v>
      </c>
      <c r="B112" s="48" t="s">
        <v>148</v>
      </c>
      <c r="C112" s="17" t="s">
        <v>409</v>
      </c>
      <c r="D112" s="48" t="s">
        <v>62</v>
      </c>
      <c r="E112" s="49">
        <v>24434.6</v>
      </c>
      <c r="F112" s="49">
        <v>0</v>
      </c>
      <c r="G112" s="49">
        <f>E112+F112</f>
        <v>24434.6</v>
      </c>
      <c r="H112" s="3"/>
      <c r="I112" s="136"/>
      <c r="J112" s="163"/>
      <c r="K112" s="163"/>
      <c r="L112" s="3"/>
    </row>
    <row r="113" spans="1:12" ht="31.5">
      <c r="A113" s="46" t="s">
        <v>56</v>
      </c>
      <c r="B113" s="48" t="s">
        <v>148</v>
      </c>
      <c r="C113" s="17" t="s">
        <v>315</v>
      </c>
      <c r="D113" s="48"/>
      <c r="E113" s="49">
        <f>E114</f>
        <v>5530</v>
      </c>
      <c r="F113" s="49">
        <f>F114</f>
        <v>-694.6</v>
      </c>
      <c r="G113" s="49">
        <f>G114</f>
        <v>4835.4</v>
      </c>
      <c r="H113" s="139"/>
      <c r="I113" s="136"/>
      <c r="J113" s="163"/>
      <c r="K113" s="163"/>
      <c r="L113" s="3"/>
    </row>
    <row r="114" spans="1:12" ht="31.5">
      <c r="A114" s="117" t="s">
        <v>18</v>
      </c>
      <c r="B114" s="48" t="s">
        <v>148</v>
      </c>
      <c r="C114" s="17" t="s">
        <v>315</v>
      </c>
      <c r="D114" s="48" t="s">
        <v>13</v>
      </c>
      <c r="E114" s="49">
        <v>5530</v>
      </c>
      <c r="F114" s="49">
        <f>-100-594.6</f>
        <v>-694.6</v>
      </c>
      <c r="G114" s="49">
        <f>E114+F114</f>
        <v>4835.4</v>
      </c>
      <c r="H114" s="3"/>
      <c r="I114" s="136"/>
      <c r="J114" s="163"/>
      <c r="K114" s="163"/>
      <c r="L114" s="3"/>
    </row>
    <row r="115" spans="1:12" ht="31.5">
      <c r="A115" s="51" t="s">
        <v>431</v>
      </c>
      <c r="B115" s="48" t="s">
        <v>148</v>
      </c>
      <c r="C115" s="17" t="s">
        <v>430</v>
      </c>
      <c r="D115" s="48"/>
      <c r="E115" s="49">
        <f>E116</f>
        <v>30</v>
      </c>
      <c r="F115" s="49">
        <f>F116</f>
        <v>0</v>
      </c>
      <c r="G115" s="49">
        <f>G116</f>
        <v>30</v>
      </c>
      <c r="H115" s="3"/>
      <c r="I115" s="136"/>
      <c r="J115" s="163"/>
      <c r="K115" s="163"/>
      <c r="L115" s="3"/>
    </row>
    <row r="116" spans="1:12" ht="31.5">
      <c r="A116" s="117" t="s">
        <v>18</v>
      </c>
      <c r="B116" s="48" t="s">
        <v>148</v>
      </c>
      <c r="C116" s="17" t="s">
        <v>430</v>
      </c>
      <c r="D116" s="48" t="s">
        <v>13</v>
      </c>
      <c r="E116" s="49">
        <v>30</v>
      </c>
      <c r="F116" s="49">
        <v>0</v>
      </c>
      <c r="G116" s="49">
        <f>E116+F116</f>
        <v>30</v>
      </c>
      <c r="H116" s="3"/>
      <c r="I116" s="136"/>
      <c r="J116" s="163"/>
      <c r="K116" s="163"/>
      <c r="L116" s="3"/>
    </row>
    <row r="117" spans="1:12" ht="78.75">
      <c r="A117" s="51" t="s">
        <v>57</v>
      </c>
      <c r="B117" s="48" t="s">
        <v>148</v>
      </c>
      <c r="C117" s="17" t="s">
        <v>353</v>
      </c>
      <c r="D117" s="48"/>
      <c r="E117" s="49">
        <f>E118</f>
        <v>2096.9</v>
      </c>
      <c r="F117" s="49">
        <f>F118</f>
        <v>0</v>
      </c>
      <c r="G117" s="49">
        <f>G118</f>
        <v>2096.9</v>
      </c>
      <c r="H117" s="3"/>
      <c r="I117" s="136"/>
      <c r="J117" s="163"/>
      <c r="K117" s="163"/>
      <c r="L117" s="3"/>
    </row>
    <row r="118" spans="1:12" ht="15.75">
      <c r="A118" s="90" t="s">
        <v>14</v>
      </c>
      <c r="B118" s="48" t="s">
        <v>148</v>
      </c>
      <c r="C118" s="17" t="s">
        <v>353</v>
      </c>
      <c r="D118" s="48" t="s">
        <v>17</v>
      </c>
      <c r="E118" s="49">
        <v>2096.9</v>
      </c>
      <c r="F118" s="49"/>
      <c r="G118" s="49">
        <f>E118+F118</f>
        <v>2096.9</v>
      </c>
      <c r="H118" s="3"/>
      <c r="I118" s="136"/>
      <c r="J118" s="163"/>
      <c r="K118" s="163"/>
      <c r="L118" s="3"/>
    </row>
    <row r="119" spans="1:12" ht="78.75">
      <c r="A119" s="46" t="s">
        <v>57</v>
      </c>
      <c r="B119" s="48" t="s">
        <v>148</v>
      </c>
      <c r="C119" s="40" t="s">
        <v>338</v>
      </c>
      <c r="D119" s="48"/>
      <c r="E119" s="49">
        <f>E120</f>
        <v>300</v>
      </c>
      <c r="F119" s="49">
        <f>F120</f>
        <v>0</v>
      </c>
      <c r="G119" s="49">
        <f>G120</f>
        <v>300</v>
      </c>
      <c r="H119" s="140"/>
      <c r="I119" s="136"/>
      <c r="J119" s="163"/>
      <c r="K119" s="163"/>
      <c r="L119" s="3"/>
    </row>
    <row r="120" spans="1:12" ht="15.75">
      <c r="A120" s="86" t="s">
        <v>14</v>
      </c>
      <c r="B120" s="48" t="s">
        <v>148</v>
      </c>
      <c r="C120" s="40" t="s">
        <v>338</v>
      </c>
      <c r="D120" s="48" t="s">
        <v>17</v>
      </c>
      <c r="E120" s="49">
        <v>300</v>
      </c>
      <c r="F120" s="49">
        <v>0</v>
      </c>
      <c r="G120" s="49">
        <f>E120+F120</f>
        <v>300</v>
      </c>
      <c r="H120" s="3"/>
      <c r="I120" s="136"/>
      <c r="J120" s="163"/>
      <c r="K120" s="163"/>
      <c r="L120" s="3"/>
    </row>
    <row r="121" spans="1:12" ht="47.25">
      <c r="A121" s="12" t="s">
        <v>92</v>
      </c>
      <c r="B121" s="112" t="s">
        <v>148</v>
      </c>
      <c r="C121" s="13" t="s">
        <v>316</v>
      </c>
      <c r="D121" s="13" t="s">
        <v>0</v>
      </c>
      <c r="E121" s="14">
        <f>E122+E127+E124</f>
        <v>477.2</v>
      </c>
      <c r="F121" s="14">
        <f>F122+F127+F124</f>
        <v>0</v>
      </c>
      <c r="G121" s="14">
        <f>G122+G127+G124</f>
        <v>477.2</v>
      </c>
      <c r="H121" s="3"/>
      <c r="I121" s="136"/>
      <c r="J121" s="163"/>
      <c r="K121" s="163"/>
      <c r="L121" s="3"/>
    </row>
    <row r="122" spans="1:12" ht="63">
      <c r="A122" s="16" t="s">
        <v>93</v>
      </c>
      <c r="B122" s="32" t="s">
        <v>148</v>
      </c>
      <c r="C122" s="17" t="s">
        <v>317</v>
      </c>
      <c r="D122" s="9"/>
      <c r="E122" s="10">
        <f>E123</f>
        <v>177.2</v>
      </c>
      <c r="F122" s="10">
        <f>F123</f>
        <v>0</v>
      </c>
      <c r="G122" s="10">
        <f>G123</f>
        <v>177.2</v>
      </c>
      <c r="H122" s="3"/>
      <c r="I122" s="136"/>
      <c r="J122" s="163"/>
      <c r="K122" s="163"/>
      <c r="L122" s="3"/>
    </row>
    <row r="123" spans="1:12" ht="47.25">
      <c r="A123" s="26" t="s">
        <v>40</v>
      </c>
      <c r="B123" s="48" t="s">
        <v>148</v>
      </c>
      <c r="C123" s="17" t="s">
        <v>317</v>
      </c>
      <c r="D123" s="48" t="s">
        <v>35</v>
      </c>
      <c r="E123" s="49">
        <v>177.2</v>
      </c>
      <c r="F123" s="257"/>
      <c r="G123" s="49">
        <f>E123+F123</f>
        <v>177.2</v>
      </c>
      <c r="H123" s="3"/>
      <c r="I123" s="136"/>
      <c r="J123" s="163"/>
      <c r="K123" s="163"/>
      <c r="L123" s="3"/>
    </row>
    <row r="124" spans="1:12" ht="31.5">
      <c r="A124" s="26" t="s">
        <v>94</v>
      </c>
      <c r="B124" s="32" t="s">
        <v>148</v>
      </c>
      <c r="C124" s="17" t="s">
        <v>318</v>
      </c>
      <c r="D124" s="48"/>
      <c r="E124" s="24">
        <f>E125+E126</f>
        <v>150</v>
      </c>
      <c r="F124" s="24">
        <f>F125+F126</f>
        <v>0</v>
      </c>
      <c r="G124" s="24">
        <f>G125+G126</f>
        <v>150</v>
      </c>
      <c r="H124" s="3"/>
      <c r="I124" s="136"/>
      <c r="J124" s="163"/>
      <c r="K124" s="163"/>
      <c r="L124" s="3"/>
    </row>
    <row r="125" spans="1:12" ht="31.5">
      <c r="A125" s="86" t="s">
        <v>18</v>
      </c>
      <c r="B125" s="48" t="s">
        <v>148</v>
      </c>
      <c r="C125" s="17" t="s">
        <v>318</v>
      </c>
      <c r="D125" s="48" t="s">
        <v>13</v>
      </c>
      <c r="E125" s="49">
        <v>50</v>
      </c>
      <c r="F125" s="49">
        <v>0</v>
      </c>
      <c r="G125" s="49">
        <f>E125+F125</f>
        <v>50</v>
      </c>
      <c r="H125" s="3"/>
      <c r="I125" s="136"/>
      <c r="J125" s="163"/>
      <c r="K125" s="163"/>
      <c r="L125" s="3"/>
    </row>
    <row r="126" spans="1:12" ht="32.25" customHeight="1">
      <c r="A126" s="46" t="s">
        <v>140</v>
      </c>
      <c r="B126" s="48" t="s">
        <v>148</v>
      </c>
      <c r="C126" s="17" t="s">
        <v>318</v>
      </c>
      <c r="D126" s="48" t="s">
        <v>22</v>
      </c>
      <c r="E126" s="49">
        <v>100</v>
      </c>
      <c r="F126" s="49">
        <v>0</v>
      </c>
      <c r="G126" s="49">
        <f>E126+F126</f>
        <v>100</v>
      </c>
      <c r="H126" s="3"/>
      <c r="I126" s="136"/>
      <c r="J126" s="163"/>
      <c r="K126" s="163"/>
      <c r="L126" s="3"/>
    </row>
    <row r="127" spans="1:12" ht="31.5">
      <c r="A127" s="46" t="s">
        <v>68</v>
      </c>
      <c r="B127" s="48" t="s">
        <v>148</v>
      </c>
      <c r="C127" s="17" t="s">
        <v>319</v>
      </c>
      <c r="D127" s="25"/>
      <c r="E127" s="24">
        <f>E128</f>
        <v>150</v>
      </c>
      <c r="F127" s="24">
        <f>F128</f>
        <v>0</v>
      </c>
      <c r="G127" s="24">
        <f>G128</f>
        <v>150</v>
      </c>
      <c r="H127" s="3"/>
      <c r="I127" s="136"/>
      <c r="J127" s="163"/>
      <c r="K127" s="163"/>
      <c r="L127" s="3"/>
    </row>
    <row r="128" spans="1:12" ht="31.5">
      <c r="A128" s="86" t="s">
        <v>18</v>
      </c>
      <c r="B128" s="48" t="s">
        <v>148</v>
      </c>
      <c r="C128" s="17" t="s">
        <v>319</v>
      </c>
      <c r="D128" s="48" t="s">
        <v>13</v>
      </c>
      <c r="E128" s="49">
        <v>150</v>
      </c>
      <c r="F128" s="49"/>
      <c r="G128" s="49">
        <f>E128+F128</f>
        <v>150</v>
      </c>
      <c r="H128" s="3"/>
      <c r="I128" s="136"/>
      <c r="J128" s="163"/>
      <c r="K128" s="163"/>
      <c r="L128" s="3"/>
    </row>
    <row r="129" spans="1:12" ht="31.5">
      <c r="A129" s="110" t="s">
        <v>118</v>
      </c>
      <c r="B129" s="105" t="s">
        <v>148</v>
      </c>
      <c r="C129" s="104" t="s">
        <v>205</v>
      </c>
      <c r="D129" s="104" t="s">
        <v>0</v>
      </c>
      <c r="E129" s="111">
        <f>E130</f>
        <v>1800</v>
      </c>
      <c r="F129" s="111">
        <f>F130</f>
        <v>0</v>
      </c>
      <c r="G129" s="111">
        <f>G130</f>
        <v>1800</v>
      </c>
      <c r="H129" s="3"/>
      <c r="I129" s="136"/>
      <c r="J129" s="163"/>
      <c r="K129" s="163"/>
      <c r="L129" s="3"/>
    </row>
    <row r="130" spans="1:12" ht="31.5">
      <c r="A130" s="12" t="s">
        <v>120</v>
      </c>
      <c r="B130" s="125" t="s">
        <v>148</v>
      </c>
      <c r="C130" s="13" t="s">
        <v>217</v>
      </c>
      <c r="D130" s="13" t="s">
        <v>0</v>
      </c>
      <c r="E130" s="14">
        <f>E131+E133+E135</f>
        <v>1800</v>
      </c>
      <c r="F130" s="14">
        <f>F131+F133+F135</f>
        <v>0</v>
      </c>
      <c r="G130" s="14">
        <f>G131+G133+G135</f>
        <v>1800</v>
      </c>
      <c r="H130" s="3"/>
      <c r="I130" s="136"/>
      <c r="J130" s="163"/>
      <c r="K130" s="163"/>
      <c r="L130" s="3"/>
    </row>
    <row r="131" spans="1:12" ht="31.5">
      <c r="A131" s="46" t="s">
        <v>139</v>
      </c>
      <c r="B131" s="48" t="s">
        <v>148</v>
      </c>
      <c r="C131" s="48" t="s">
        <v>228</v>
      </c>
      <c r="D131" s="48"/>
      <c r="E131" s="49">
        <f>E132</f>
        <v>1100</v>
      </c>
      <c r="F131" s="49">
        <f>F132</f>
        <v>0</v>
      </c>
      <c r="G131" s="49">
        <f>G132</f>
        <v>1100</v>
      </c>
      <c r="H131" s="3"/>
      <c r="I131" s="136"/>
      <c r="J131" s="163"/>
      <c r="K131" s="163"/>
      <c r="L131" s="3"/>
    </row>
    <row r="132" spans="1:12" ht="36.75" customHeight="1">
      <c r="A132" s="46" t="s">
        <v>140</v>
      </c>
      <c r="B132" s="48" t="s">
        <v>148</v>
      </c>
      <c r="C132" s="48" t="s">
        <v>228</v>
      </c>
      <c r="D132" s="48" t="s">
        <v>22</v>
      </c>
      <c r="E132" s="49">
        <v>1100</v>
      </c>
      <c r="F132" s="49">
        <v>0</v>
      </c>
      <c r="G132" s="49">
        <f>E132+F132</f>
        <v>1100</v>
      </c>
      <c r="H132" s="3"/>
      <c r="I132" s="136"/>
      <c r="J132" s="163"/>
      <c r="K132" s="163"/>
      <c r="L132" s="3"/>
    </row>
    <row r="133" spans="1:12" ht="31.5">
      <c r="A133" s="46" t="s">
        <v>179</v>
      </c>
      <c r="B133" s="48" t="s">
        <v>148</v>
      </c>
      <c r="C133" s="48" t="s">
        <v>229</v>
      </c>
      <c r="D133" s="48"/>
      <c r="E133" s="49">
        <f>E134</f>
        <v>250</v>
      </c>
      <c r="F133" s="49">
        <f>F134</f>
        <v>0</v>
      </c>
      <c r="G133" s="49">
        <f>G134</f>
        <v>250</v>
      </c>
      <c r="H133" s="3"/>
      <c r="I133" s="136"/>
      <c r="J133" s="163"/>
      <c r="K133" s="163"/>
      <c r="L133" s="3"/>
    </row>
    <row r="134" spans="1:12" ht="31.5">
      <c r="A134" s="46" t="s">
        <v>18</v>
      </c>
      <c r="B134" s="48" t="s">
        <v>148</v>
      </c>
      <c r="C134" s="48" t="s">
        <v>229</v>
      </c>
      <c r="D134" s="48" t="s">
        <v>13</v>
      </c>
      <c r="E134" s="49">
        <v>250</v>
      </c>
      <c r="F134" s="49"/>
      <c r="G134" s="49">
        <f>E134+F134</f>
        <v>250</v>
      </c>
      <c r="H134" s="3"/>
      <c r="I134" s="136"/>
      <c r="J134" s="163"/>
      <c r="K134" s="163"/>
      <c r="L134" s="3"/>
    </row>
    <row r="135" spans="1:12" ht="47.25">
      <c r="A135" s="46" t="s">
        <v>180</v>
      </c>
      <c r="B135" s="48" t="s">
        <v>148</v>
      </c>
      <c r="C135" s="48" t="s">
        <v>230</v>
      </c>
      <c r="D135" s="48"/>
      <c r="E135" s="49">
        <f>E136</f>
        <v>450</v>
      </c>
      <c r="F135" s="49">
        <f>F136</f>
        <v>0</v>
      </c>
      <c r="G135" s="49">
        <f>G136</f>
        <v>450</v>
      </c>
      <c r="H135" s="3"/>
      <c r="I135" s="136"/>
      <c r="J135" s="163"/>
      <c r="K135" s="163"/>
      <c r="L135" s="3"/>
    </row>
    <row r="136" spans="1:12" ht="31.5">
      <c r="A136" s="46" t="s">
        <v>18</v>
      </c>
      <c r="B136" s="48" t="s">
        <v>148</v>
      </c>
      <c r="C136" s="48" t="s">
        <v>230</v>
      </c>
      <c r="D136" s="48" t="s">
        <v>13</v>
      </c>
      <c r="E136" s="49">
        <v>450</v>
      </c>
      <c r="F136" s="49">
        <v>0</v>
      </c>
      <c r="G136" s="49">
        <f>E136+F136</f>
        <v>450</v>
      </c>
      <c r="H136" s="3"/>
      <c r="I136" s="136"/>
      <c r="J136" s="163"/>
      <c r="K136" s="163"/>
      <c r="L136" s="3"/>
    </row>
    <row r="137" spans="1:12" ht="47.25">
      <c r="A137" s="110" t="s">
        <v>80</v>
      </c>
      <c r="B137" s="105" t="s">
        <v>148</v>
      </c>
      <c r="C137" s="104" t="s">
        <v>247</v>
      </c>
      <c r="D137" s="104" t="s">
        <v>0</v>
      </c>
      <c r="E137" s="111">
        <f>E149+E147+E143+E141+E138+E145</f>
        <v>59599.899999999994</v>
      </c>
      <c r="F137" s="111">
        <f>F149+F147+F143+F141+F138+F145</f>
        <v>0</v>
      </c>
      <c r="G137" s="111">
        <f>G149+G147+G143+G141+G138+G145</f>
        <v>59599.899999999994</v>
      </c>
      <c r="H137" s="3"/>
      <c r="I137" s="136"/>
      <c r="J137" s="163"/>
      <c r="K137" s="163"/>
      <c r="L137" s="3"/>
    </row>
    <row r="138" spans="1:12" ht="15.75">
      <c r="A138" s="16" t="s">
        <v>29</v>
      </c>
      <c r="B138" s="32" t="s">
        <v>148</v>
      </c>
      <c r="C138" s="48" t="s">
        <v>248</v>
      </c>
      <c r="D138" s="17"/>
      <c r="E138" s="19">
        <f>E139+E140</f>
        <v>550</v>
      </c>
      <c r="F138" s="19">
        <f>F139+F140</f>
        <v>0</v>
      </c>
      <c r="G138" s="19">
        <f>G139+G140</f>
        <v>550</v>
      </c>
      <c r="H138" s="3"/>
      <c r="I138" s="136"/>
      <c r="J138" s="163"/>
      <c r="K138" s="163"/>
      <c r="L138" s="3"/>
    </row>
    <row r="139" spans="1:12" ht="31.5">
      <c r="A139" s="26" t="s">
        <v>18</v>
      </c>
      <c r="B139" s="48" t="s">
        <v>148</v>
      </c>
      <c r="C139" s="48" t="s">
        <v>248</v>
      </c>
      <c r="D139" s="48" t="s">
        <v>13</v>
      </c>
      <c r="E139" s="49">
        <v>100</v>
      </c>
      <c r="F139" s="49"/>
      <c r="G139" s="49">
        <f>E139+F139</f>
        <v>100</v>
      </c>
      <c r="H139" s="3"/>
      <c r="I139" s="136"/>
      <c r="J139" s="163"/>
      <c r="K139" s="163"/>
      <c r="L139" s="3"/>
    </row>
    <row r="140" spans="1:12" ht="47.25">
      <c r="A140" s="66" t="s">
        <v>15</v>
      </c>
      <c r="B140" s="48" t="s">
        <v>148</v>
      </c>
      <c r="C140" s="48" t="s">
        <v>248</v>
      </c>
      <c r="D140" s="48" t="s">
        <v>16</v>
      </c>
      <c r="E140" s="49">
        <v>450</v>
      </c>
      <c r="F140" s="49">
        <v>0</v>
      </c>
      <c r="G140" s="49">
        <f>E140+F140</f>
        <v>450</v>
      </c>
      <c r="H140" s="3"/>
      <c r="I140" s="136"/>
      <c r="J140" s="163"/>
      <c r="K140" s="163"/>
      <c r="L140" s="3"/>
    </row>
    <row r="141" spans="1:12" ht="31.5">
      <c r="A141" s="46" t="s">
        <v>81</v>
      </c>
      <c r="B141" s="48" t="s">
        <v>148</v>
      </c>
      <c r="C141" s="48" t="s">
        <v>249</v>
      </c>
      <c r="D141" s="48"/>
      <c r="E141" s="49">
        <f>E142</f>
        <v>16000</v>
      </c>
      <c r="F141" s="49">
        <f>F142</f>
        <v>0</v>
      </c>
      <c r="G141" s="49">
        <f>G142</f>
        <v>16000</v>
      </c>
      <c r="H141" s="3"/>
      <c r="I141" s="136"/>
      <c r="J141" s="163"/>
      <c r="K141" s="163"/>
      <c r="L141" s="3"/>
    </row>
    <row r="142" spans="1:12" ht="47.25">
      <c r="A142" s="66" t="s">
        <v>15</v>
      </c>
      <c r="B142" s="48" t="s">
        <v>148</v>
      </c>
      <c r="C142" s="48" t="s">
        <v>249</v>
      </c>
      <c r="D142" s="48" t="s">
        <v>16</v>
      </c>
      <c r="E142" s="49">
        <v>16000</v>
      </c>
      <c r="F142" s="49"/>
      <c r="G142" s="49">
        <f>E142+F142</f>
        <v>16000</v>
      </c>
      <c r="H142" s="139"/>
      <c r="I142" s="136"/>
      <c r="J142" s="163"/>
      <c r="K142" s="163"/>
      <c r="L142" s="3"/>
    </row>
    <row r="143" spans="1:12" ht="63">
      <c r="A143" s="67" t="s">
        <v>82</v>
      </c>
      <c r="B143" s="48" t="s">
        <v>148</v>
      </c>
      <c r="C143" s="48" t="s">
        <v>250</v>
      </c>
      <c r="D143" s="48"/>
      <c r="E143" s="49">
        <f>E144</f>
        <v>40564.2</v>
      </c>
      <c r="F143" s="49">
        <f>F144</f>
        <v>0</v>
      </c>
      <c r="G143" s="49">
        <f>G144</f>
        <v>40564.2</v>
      </c>
      <c r="H143" s="139"/>
      <c r="I143" s="136"/>
      <c r="J143" s="163"/>
      <c r="K143" s="163"/>
      <c r="L143" s="3"/>
    </row>
    <row r="144" spans="1:12" ht="47.25">
      <c r="A144" s="67" t="s">
        <v>15</v>
      </c>
      <c r="B144" s="48" t="s">
        <v>148</v>
      </c>
      <c r="C144" s="48" t="s">
        <v>250</v>
      </c>
      <c r="D144" s="48" t="s">
        <v>16</v>
      </c>
      <c r="E144" s="49">
        <v>40564.2</v>
      </c>
      <c r="F144" s="49">
        <v>0</v>
      </c>
      <c r="G144" s="49">
        <f>E144+F144</f>
        <v>40564.2</v>
      </c>
      <c r="H144" s="139"/>
      <c r="I144" s="136"/>
      <c r="J144" s="163"/>
      <c r="K144" s="163"/>
      <c r="L144" s="3"/>
    </row>
    <row r="145" spans="1:12" ht="31.5">
      <c r="A145" s="67" t="s">
        <v>58</v>
      </c>
      <c r="B145" s="48" t="s">
        <v>148</v>
      </c>
      <c r="C145" s="48" t="s">
        <v>251</v>
      </c>
      <c r="D145" s="48"/>
      <c r="E145" s="49">
        <f>E146</f>
        <v>300.7</v>
      </c>
      <c r="F145" s="49">
        <f>F146</f>
        <v>0</v>
      </c>
      <c r="G145" s="49">
        <f>G146</f>
        <v>300.7</v>
      </c>
      <c r="H145" s="139"/>
      <c r="I145" s="136"/>
      <c r="J145" s="163"/>
      <c r="K145" s="163"/>
      <c r="L145" s="3"/>
    </row>
    <row r="146" spans="1:12" ht="47.25">
      <c r="A146" s="67" t="s">
        <v>15</v>
      </c>
      <c r="B146" s="48" t="s">
        <v>148</v>
      </c>
      <c r="C146" s="48" t="s">
        <v>251</v>
      </c>
      <c r="D146" s="48" t="s">
        <v>16</v>
      </c>
      <c r="E146" s="49">
        <v>300.7</v>
      </c>
      <c r="F146" s="49">
        <v>0</v>
      </c>
      <c r="G146" s="49">
        <f>E146+F146</f>
        <v>300.7</v>
      </c>
      <c r="H146" s="139"/>
      <c r="I146" s="136"/>
      <c r="J146" s="163"/>
      <c r="K146" s="163"/>
      <c r="L146" s="3"/>
    </row>
    <row r="147" spans="1:12" ht="47.25">
      <c r="A147" s="68" t="s">
        <v>59</v>
      </c>
      <c r="B147" s="48" t="s">
        <v>148</v>
      </c>
      <c r="C147" s="48" t="s">
        <v>252</v>
      </c>
      <c r="D147" s="48"/>
      <c r="E147" s="49">
        <f>E148</f>
        <v>32.1</v>
      </c>
      <c r="F147" s="49">
        <f>F148</f>
        <v>0</v>
      </c>
      <c r="G147" s="49">
        <f>G148</f>
        <v>32.1</v>
      </c>
      <c r="H147" s="141"/>
      <c r="I147" s="136"/>
      <c r="J147" s="163"/>
      <c r="K147" s="163"/>
      <c r="L147" s="3"/>
    </row>
    <row r="148" spans="1:12" ht="31.5">
      <c r="A148" s="26" t="s">
        <v>18</v>
      </c>
      <c r="B148" s="48" t="s">
        <v>148</v>
      </c>
      <c r="C148" s="48" t="s">
        <v>252</v>
      </c>
      <c r="D148" s="48" t="s">
        <v>13</v>
      </c>
      <c r="E148" s="49">
        <v>32.1</v>
      </c>
      <c r="F148" s="49">
        <v>0</v>
      </c>
      <c r="G148" s="49">
        <f>E148+F148</f>
        <v>32.1</v>
      </c>
      <c r="H148" s="139"/>
      <c r="I148" s="136"/>
      <c r="J148" s="163"/>
      <c r="K148" s="163"/>
      <c r="L148" s="3"/>
    </row>
    <row r="149" spans="1:12" ht="31.5">
      <c r="A149" s="116" t="s">
        <v>60</v>
      </c>
      <c r="B149" s="32" t="s">
        <v>148</v>
      </c>
      <c r="C149" s="48" t="s">
        <v>253</v>
      </c>
      <c r="D149" s="17"/>
      <c r="E149" s="19">
        <f>E150</f>
        <v>2152.9</v>
      </c>
      <c r="F149" s="19">
        <f>F150</f>
        <v>0</v>
      </c>
      <c r="G149" s="19">
        <f>G150</f>
        <v>2152.9</v>
      </c>
      <c r="H149" s="139"/>
      <c r="I149" s="136"/>
      <c r="J149" s="163"/>
      <c r="K149" s="163"/>
      <c r="L149" s="3"/>
    </row>
    <row r="150" spans="1:12" ht="31.5">
      <c r="A150" s="26" t="s">
        <v>18</v>
      </c>
      <c r="B150" s="32" t="s">
        <v>148</v>
      </c>
      <c r="C150" s="48" t="s">
        <v>253</v>
      </c>
      <c r="D150" s="17" t="s">
        <v>13</v>
      </c>
      <c r="E150" s="49">
        <v>2152.9</v>
      </c>
      <c r="F150" s="49">
        <v>0</v>
      </c>
      <c r="G150" s="49">
        <f>E150+F150</f>
        <v>2152.9</v>
      </c>
      <c r="H150" s="139"/>
      <c r="I150" s="136"/>
      <c r="J150" s="163"/>
      <c r="K150" s="163"/>
      <c r="L150" s="3"/>
    </row>
    <row r="151" spans="1:12" ht="47.25">
      <c r="A151" s="110" t="s">
        <v>123</v>
      </c>
      <c r="B151" s="105" t="s">
        <v>148</v>
      </c>
      <c r="C151" s="104" t="s">
        <v>271</v>
      </c>
      <c r="D151" s="104" t="s">
        <v>0</v>
      </c>
      <c r="E151" s="111">
        <f>E152+E183+E192</f>
        <v>115811.9</v>
      </c>
      <c r="F151" s="111">
        <f>F152+F183+F192</f>
        <v>285.3</v>
      </c>
      <c r="G151" s="111">
        <f>G152+G183+G192</f>
        <v>116097.2</v>
      </c>
      <c r="H151" s="139"/>
      <c r="I151" s="136"/>
      <c r="J151" s="163"/>
      <c r="K151" s="163"/>
      <c r="L151" s="3"/>
    </row>
    <row r="152" spans="1:12" ht="31.5">
      <c r="A152" s="12" t="s">
        <v>126</v>
      </c>
      <c r="B152" s="112" t="s">
        <v>148</v>
      </c>
      <c r="C152" s="13" t="s">
        <v>279</v>
      </c>
      <c r="D152" s="13" t="s">
        <v>0</v>
      </c>
      <c r="E152" s="14">
        <f>E153+E155+E160+E167+E170+E173+E179+E176+E164</f>
        <v>109616.9</v>
      </c>
      <c r="F152" s="14">
        <f>F153+F155+F160+F167+F170+F173+F179+F176+F164</f>
        <v>-474.7</v>
      </c>
      <c r="G152" s="14">
        <f>G153+G155+G160+G167+G170+G173+G179+G176+G164</f>
        <v>109142.2</v>
      </c>
      <c r="H152" s="139"/>
      <c r="I152" s="136"/>
      <c r="J152" s="163"/>
      <c r="K152" s="163"/>
      <c r="L152" s="3"/>
    </row>
    <row r="153" spans="1:12" ht="31.5">
      <c r="A153" s="18" t="s">
        <v>25</v>
      </c>
      <c r="B153" s="48" t="s">
        <v>148</v>
      </c>
      <c r="C153" s="17" t="s">
        <v>280</v>
      </c>
      <c r="D153" s="9"/>
      <c r="E153" s="10">
        <f>E154</f>
        <v>200</v>
      </c>
      <c r="F153" s="10">
        <f>F154</f>
        <v>0</v>
      </c>
      <c r="G153" s="10">
        <f>G154</f>
        <v>200</v>
      </c>
      <c r="H153" s="3"/>
      <c r="I153" s="136"/>
      <c r="J153" s="163"/>
      <c r="K153" s="163"/>
      <c r="L153" s="3"/>
    </row>
    <row r="154" spans="1:12" ht="31.5">
      <c r="A154" s="51" t="s">
        <v>18</v>
      </c>
      <c r="B154" s="48" t="s">
        <v>148</v>
      </c>
      <c r="C154" s="17" t="s">
        <v>280</v>
      </c>
      <c r="D154" s="48" t="s">
        <v>13</v>
      </c>
      <c r="E154" s="49">
        <v>200</v>
      </c>
      <c r="F154" s="49"/>
      <c r="G154" s="49">
        <f>E154+F154</f>
        <v>200</v>
      </c>
      <c r="H154" s="3"/>
      <c r="I154" s="136"/>
      <c r="J154" s="163"/>
      <c r="K154" s="163"/>
      <c r="L154" s="3"/>
    </row>
    <row r="155" spans="1:12" ht="31.5">
      <c r="A155" s="89" t="s">
        <v>19</v>
      </c>
      <c r="B155" s="48" t="s">
        <v>148</v>
      </c>
      <c r="C155" s="48" t="s">
        <v>281</v>
      </c>
      <c r="D155" s="25"/>
      <c r="E155" s="24">
        <f>SUM(E156:E159)</f>
        <v>96859.9</v>
      </c>
      <c r="F155" s="24">
        <f>SUM(F156:F159)</f>
        <v>-459.7</v>
      </c>
      <c r="G155" s="24">
        <f>SUM(G156:G159)</f>
        <v>96400.2</v>
      </c>
      <c r="H155" s="3"/>
      <c r="I155" s="136"/>
      <c r="J155" s="163"/>
      <c r="K155" s="163"/>
      <c r="L155" s="3"/>
    </row>
    <row r="156" spans="1:12" ht="78.75">
      <c r="A156" s="63" t="s">
        <v>20</v>
      </c>
      <c r="B156" s="48" t="s">
        <v>148</v>
      </c>
      <c r="C156" s="48" t="s">
        <v>281</v>
      </c>
      <c r="D156" s="48" t="s">
        <v>21</v>
      </c>
      <c r="E156" s="49">
        <v>78268.8</v>
      </c>
      <c r="F156" s="49">
        <v>0</v>
      </c>
      <c r="G156" s="49">
        <f>E156+F156</f>
        <v>78268.8</v>
      </c>
      <c r="H156" s="3"/>
      <c r="I156" s="136"/>
      <c r="J156" s="163"/>
      <c r="K156" s="163"/>
      <c r="L156" s="3"/>
    </row>
    <row r="157" spans="1:12" ht="31.5">
      <c r="A157" s="117" t="s">
        <v>18</v>
      </c>
      <c r="B157" s="48" t="s">
        <v>148</v>
      </c>
      <c r="C157" s="48" t="s">
        <v>281</v>
      </c>
      <c r="D157" s="48" t="s">
        <v>13</v>
      </c>
      <c r="E157" s="49">
        <v>9815.5</v>
      </c>
      <c r="F157" s="24">
        <f>15-400.7-29-45</f>
        <v>-459.7</v>
      </c>
      <c r="G157" s="49">
        <f>E157+F157</f>
        <v>9355.8</v>
      </c>
      <c r="H157" s="3"/>
      <c r="I157" s="136"/>
      <c r="J157" s="163"/>
      <c r="K157" s="163"/>
      <c r="L157" s="3"/>
    </row>
    <row r="158" spans="1:12" ht="31.5">
      <c r="A158" s="26" t="s">
        <v>111</v>
      </c>
      <c r="B158" s="48" t="s">
        <v>148</v>
      </c>
      <c r="C158" s="48" t="s">
        <v>281</v>
      </c>
      <c r="D158" s="48" t="s">
        <v>22</v>
      </c>
      <c r="E158" s="49">
        <v>8504.9</v>
      </c>
      <c r="F158" s="49">
        <v>0</v>
      </c>
      <c r="G158" s="49">
        <f>E158+F158</f>
        <v>8504.9</v>
      </c>
      <c r="H158" s="3"/>
      <c r="I158" s="136"/>
      <c r="J158" s="163"/>
      <c r="K158" s="163"/>
      <c r="L158" s="3"/>
    </row>
    <row r="159" spans="1:12" ht="15.75">
      <c r="A159" s="86" t="s">
        <v>14</v>
      </c>
      <c r="B159" s="48" t="s">
        <v>148</v>
      </c>
      <c r="C159" s="48" t="s">
        <v>281</v>
      </c>
      <c r="D159" s="48" t="s">
        <v>17</v>
      </c>
      <c r="E159" s="49">
        <v>270.7</v>
      </c>
      <c r="F159" s="49">
        <v>0</v>
      </c>
      <c r="G159" s="49">
        <f>E159+F159</f>
        <v>270.7</v>
      </c>
      <c r="H159" s="3"/>
      <c r="I159" s="136"/>
      <c r="J159" s="163"/>
      <c r="K159" s="163"/>
      <c r="L159" s="3"/>
    </row>
    <row r="160" spans="1:12" ht="36.75" customHeight="1">
      <c r="A160" s="18" t="s">
        <v>42</v>
      </c>
      <c r="B160" s="32" t="s">
        <v>148</v>
      </c>
      <c r="C160" s="17" t="s">
        <v>282</v>
      </c>
      <c r="D160" s="9"/>
      <c r="E160" s="10">
        <f>E161+E162+E163</f>
        <v>10331.8</v>
      </c>
      <c r="F160" s="10">
        <f>F161+F162+F163</f>
        <v>0</v>
      </c>
      <c r="G160" s="10">
        <f>G161+G162+G163</f>
        <v>10331.799999999997</v>
      </c>
      <c r="H160" s="3"/>
      <c r="I160" s="136"/>
      <c r="J160" s="163"/>
      <c r="K160" s="163"/>
      <c r="L160" s="3"/>
    </row>
    <row r="161" spans="1:12" ht="90.75" customHeight="1">
      <c r="A161" s="50" t="s">
        <v>20</v>
      </c>
      <c r="B161" s="48" t="s">
        <v>148</v>
      </c>
      <c r="C161" s="17" t="s">
        <v>282</v>
      </c>
      <c r="D161" s="9" t="s">
        <v>21</v>
      </c>
      <c r="E161" s="10">
        <v>8295.3</v>
      </c>
      <c r="F161" s="10">
        <v>164.8</v>
      </c>
      <c r="G161" s="10">
        <f>E161+F161</f>
        <v>8460.099999999999</v>
      </c>
      <c r="H161" s="3"/>
      <c r="I161" s="136"/>
      <c r="J161" s="163"/>
      <c r="K161" s="163"/>
      <c r="L161" s="3"/>
    </row>
    <row r="162" spans="1:12" ht="49.5" customHeight="1">
      <c r="A162" s="51" t="s">
        <v>18</v>
      </c>
      <c r="B162" s="48" t="s">
        <v>148</v>
      </c>
      <c r="C162" s="17" t="s">
        <v>282</v>
      </c>
      <c r="D162" s="48" t="s">
        <v>13</v>
      </c>
      <c r="E162" s="24">
        <v>1824.6</v>
      </c>
      <c r="F162" s="24">
        <v>-164.8</v>
      </c>
      <c r="G162" s="10">
        <f>E162+F162</f>
        <v>1659.8</v>
      </c>
      <c r="H162" s="3"/>
      <c r="I162" s="136"/>
      <c r="J162" s="163"/>
      <c r="K162" s="163"/>
      <c r="L162" s="3"/>
    </row>
    <row r="163" spans="1:12" ht="24.75" customHeight="1">
      <c r="A163" s="51" t="s">
        <v>14</v>
      </c>
      <c r="B163" s="48" t="s">
        <v>148</v>
      </c>
      <c r="C163" s="17" t="s">
        <v>282</v>
      </c>
      <c r="D163" s="48" t="s">
        <v>17</v>
      </c>
      <c r="E163" s="24">
        <v>211.9</v>
      </c>
      <c r="F163" s="24">
        <v>0</v>
      </c>
      <c r="G163" s="10">
        <f>E163+F163</f>
        <v>211.9</v>
      </c>
      <c r="H163" s="3"/>
      <c r="I163" s="136"/>
      <c r="J163" s="163"/>
      <c r="K163" s="163"/>
      <c r="L163" s="3"/>
    </row>
    <row r="164" spans="1:12" ht="49.5" customHeight="1">
      <c r="A164" s="75" t="s">
        <v>333</v>
      </c>
      <c r="B164" s="48" t="s">
        <v>148</v>
      </c>
      <c r="C164" s="32" t="s">
        <v>348</v>
      </c>
      <c r="D164" s="48"/>
      <c r="E164" s="24">
        <f>E165+E166</f>
        <v>39</v>
      </c>
      <c r="F164" s="24">
        <f>F165+F166</f>
        <v>0</v>
      </c>
      <c r="G164" s="24">
        <f>G165+G166</f>
        <v>39</v>
      </c>
      <c r="H164" s="3"/>
      <c r="I164" s="136"/>
      <c r="J164" s="163"/>
      <c r="K164" s="163"/>
      <c r="L164" s="3"/>
    </row>
    <row r="165" spans="1:12" ht="70.5" customHeight="1">
      <c r="A165" s="50" t="s">
        <v>20</v>
      </c>
      <c r="B165" s="48" t="s">
        <v>148</v>
      </c>
      <c r="C165" s="32" t="s">
        <v>348</v>
      </c>
      <c r="D165" s="48" t="s">
        <v>21</v>
      </c>
      <c r="E165" s="24">
        <v>28</v>
      </c>
      <c r="F165" s="24"/>
      <c r="G165" s="24">
        <f>E165+F165</f>
        <v>28</v>
      </c>
      <c r="H165" s="3"/>
      <c r="I165" s="136"/>
      <c r="J165" s="163"/>
      <c r="K165" s="163"/>
      <c r="L165" s="3"/>
    </row>
    <row r="166" spans="1:12" ht="49.5" customHeight="1">
      <c r="A166" s="117" t="s">
        <v>18</v>
      </c>
      <c r="B166" s="48" t="s">
        <v>148</v>
      </c>
      <c r="C166" s="32" t="s">
        <v>348</v>
      </c>
      <c r="D166" s="48" t="s">
        <v>13</v>
      </c>
      <c r="E166" s="24">
        <v>11</v>
      </c>
      <c r="F166" s="24"/>
      <c r="G166" s="24">
        <f>E166+F166</f>
        <v>11</v>
      </c>
      <c r="H166" s="3"/>
      <c r="I166" s="136"/>
      <c r="J166" s="163"/>
      <c r="K166" s="163"/>
      <c r="L166" s="3"/>
    </row>
    <row r="167" spans="1:12" ht="220.5">
      <c r="A167" s="43" t="s">
        <v>335</v>
      </c>
      <c r="B167" s="32" t="s">
        <v>148</v>
      </c>
      <c r="C167" s="32" t="s">
        <v>291</v>
      </c>
      <c r="D167" s="40"/>
      <c r="E167" s="41">
        <f>E168+E169</f>
        <v>86.1</v>
      </c>
      <c r="F167" s="41">
        <f>F168+F169</f>
        <v>0</v>
      </c>
      <c r="G167" s="41">
        <f>G168+G169</f>
        <v>86.1</v>
      </c>
      <c r="H167" s="140"/>
      <c r="I167" s="136"/>
      <c r="J167" s="163"/>
      <c r="K167" s="163"/>
      <c r="L167" s="3"/>
    </row>
    <row r="168" spans="1:12" ht="78.75">
      <c r="A168" s="50" t="s">
        <v>20</v>
      </c>
      <c r="B168" s="48" t="s">
        <v>148</v>
      </c>
      <c r="C168" s="32" t="s">
        <v>291</v>
      </c>
      <c r="D168" s="48" t="s">
        <v>21</v>
      </c>
      <c r="E168" s="49">
        <v>83.8</v>
      </c>
      <c r="F168" s="49"/>
      <c r="G168" s="49">
        <f>E168+F168</f>
        <v>83.8</v>
      </c>
      <c r="H168" s="3"/>
      <c r="I168" s="136"/>
      <c r="J168" s="163"/>
      <c r="K168" s="163"/>
      <c r="L168" s="3"/>
    </row>
    <row r="169" spans="1:12" ht="31.5">
      <c r="A169" s="117" t="s">
        <v>18</v>
      </c>
      <c r="B169" s="48" t="s">
        <v>148</v>
      </c>
      <c r="C169" s="32" t="s">
        <v>291</v>
      </c>
      <c r="D169" s="48" t="s">
        <v>13</v>
      </c>
      <c r="E169" s="24">
        <v>2.3</v>
      </c>
      <c r="F169" s="24"/>
      <c r="G169" s="49">
        <f>E169+F169</f>
        <v>2.3</v>
      </c>
      <c r="H169" s="3"/>
      <c r="I169" s="136"/>
      <c r="J169" s="163"/>
      <c r="K169" s="163"/>
      <c r="L169" s="3"/>
    </row>
    <row r="170" spans="1:12" ht="94.5">
      <c r="A170" s="118" t="s">
        <v>440</v>
      </c>
      <c r="B170" s="48" t="s">
        <v>148</v>
      </c>
      <c r="C170" s="32" t="s">
        <v>292</v>
      </c>
      <c r="D170" s="25"/>
      <c r="E170" s="24">
        <f>E171+E172</f>
        <v>58.9</v>
      </c>
      <c r="F170" s="24">
        <f>F171+F172</f>
        <v>0</v>
      </c>
      <c r="G170" s="24">
        <f>G171+G172</f>
        <v>58.9</v>
      </c>
      <c r="H170" s="3"/>
      <c r="I170" s="136"/>
      <c r="J170" s="163"/>
      <c r="K170" s="163"/>
      <c r="L170" s="3"/>
    </row>
    <row r="171" spans="1:12" ht="78.75">
      <c r="A171" s="50" t="s">
        <v>20</v>
      </c>
      <c r="B171" s="48" t="s">
        <v>148</v>
      </c>
      <c r="C171" s="32" t="s">
        <v>292</v>
      </c>
      <c r="D171" s="48" t="s">
        <v>21</v>
      </c>
      <c r="E171" s="49">
        <v>55.9</v>
      </c>
      <c r="F171" s="49"/>
      <c r="G171" s="49">
        <f>E171+F171</f>
        <v>55.9</v>
      </c>
      <c r="H171" s="3"/>
      <c r="I171" s="136"/>
      <c r="J171" s="163"/>
      <c r="K171" s="163"/>
      <c r="L171" s="3"/>
    </row>
    <row r="172" spans="1:12" ht="31.5">
      <c r="A172" s="117" t="s">
        <v>18</v>
      </c>
      <c r="B172" s="48" t="s">
        <v>148</v>
      </c>
      <c r="C172" s="32" t="s">
        <v>292</v>
      </c>
      <c r="D172" s="48" t="s">
        <v>13</v>
      </c>
      <c r="E172" s="24">
        <v>3</v>
      </c>
      <c r="F172" s="24"/>
      <c r="G172" s="49">
        <f>E172+F172</f>
        <v>3</v>
      </c>
      <c r="H172" s="3"/>
      <c r="I172" s="136"/>
      <c r="J172" s="163"/>
      <c r="K172" s="163"/>
      <c r="L172" s="3"/>
    </row>
    <row r="173" spans="1:12" ht="204.75">
      <c r="A173" s="119" t="s">
        <v>334</v>
      </c>
      <c r="B173" s="48" t="s">
        <v>148</v>
      </c>
      <c r="C173" s="48" t="s">
        <v>293</v>
      </c>
      <c r="D173" s="25"/>
      <c r="E173" s="24">
        <f>E174+E175</f>
        <v>572.3</v>
      </c>
      <c r="F173" s="24">
        <f>F174+F175</f>
        <v>0</v>
      </c>
      <c r="G173" s="24">
        <f>G174+G175</f>
        <v>572.3</v>
      </c>
      <c r="H173" s="3"/>
      <c r="I173" s="136"/>
      <c r="J173" s="163"/>
      <c r="K173" s="163"/>
      <c r="L173" s="3"/>
    </row>
    <row r="174" spans="1:12" ht="78.75">
      <c r="A174" s="50" t="s">
        <v>20</v>
      </c>
      <c r="B174" s="48" t="s">
        <v>148</v>
      </c>
      <c r="C174" s="48" t="s">
        <v>293</v>
      </c>
      <c r="D174" s="48" t="s">
        <v>21</v>
      </c>
      <c r="E174" s="49">
        <v>559.3</v>
      </c>
      <c r="F174" s="49"/>
      <c r="G174" s="49">
        <f>E174+F174</f>
        <v>559.3</v>
      </c>
      <c r="H174" s="3"/>
      <c r="I174" s="136"/>
      <c r="J174" s="163"/>
      <c r="K174" s="163"/>
      <c r="L174" s="3"/>
    </row>
    <row r="175" spans="1:12" ht="31.5">
      <c r="A175" s="117" t="s">
        <v>18</v>
      </c>
      <c r="B175" s="48" t="s">
        <v>148</v>
      </c>
      <c r="C175" s="48" t="s">
        <v>293</v>
      </c>
      <c r="D175" s="48" t="s">
        <v>13</v>
      </c>
      <c r="E175" s="24">
        <v>13</v>
      </c>
      <c r="F175" s="24"/>
      <c r="G175" s="49">
        <f>E175+F175</f>
        <v>13</v>
      </c>
      <c r="H175" s="3"/>
      <c r="I175" s="136"/>
      <c r="J175" s="163"/>
      <c r="K175" s="163"/>
      <c r="L175" s="3"/>
    </row>
    <row r="176" spans="1:12" ht="78.75">
      <c r="A176" s="27" t="s">
        <v>380</v>
      </c>
      <c r="B176" s="32" t="s">
        <v>148</v>
      </c>
      <c r="C176" s="32" t="s">
        <v>294</v>
      </c>
      <c r="D176" s="40"/>
      <c r="E176" s="42">
        <f>E177+E178</f>
        <v>58.9</v>
      </c>
      <c r="F176" s="42">
        <f>F177+F178</f>
        <v>0</v>
      </c>
      <c r="G176" s="42">
        <f>G177+G178</f>
        <v>58.9</v>
      </c>
      <c r="H176" s="3"/>
      <c r="I176" s="136"/>
      <c r="J176" s="163"/>
      <c r="K176" s="163"/>
      <c r="L176" s="3"/>
    </row>
    <row r="177" spans="1:12" ht="78.75">
      <c r="A177" s="50" t="s">
        <v>380</v>
      </c>
      <c r="B177" s="48" t="s">
        <v>148</v>
      </c>
      <c r="C177" s="32" t="s">
        <v>294</v>
      </c>
      <c r="D177" s="48" t="s">
        <v>21</v>
      </c>
      <c r="E177" s="49">
        <v>55.9</v>
      </c>
      <c r="F177" s="49"/>
      <c r="G177" s="49">
        <f>E177+F177</f>
        <v>55.9</v>
      </c>
      <c r="H177" s="3"/>
      <c r="I177" s="136"/>
      <c r="J177" s="163"/>
      <c r="K177" s="163"/>
      <c r="L177" s="3"/>
    </row>
    <row r="178" spans="1:12" ht="31.5">
      <c r="A178" s="117" t="s">
        <v>18</v>
      </c>
      <c r="B178" s="48" t="s">
        <v>148</v>
      </c>
      <c r="C178" s="32" t="s">
        <v>294</v>
      </c>
      <c r="D178" s="48" t="s">
        <v>13</v>
      </c>
      <c r="E178" s="24">
        <v>3</v>
      </c>
      <c r="F178" s="24"/>
      <c r="G178" s="49">
        <f>E178+F178</f>
        <v>3</v>
      </c>
      <c r="H178" s="3"/>
      <c r="I178" s="136"/>
      <c r="J178" s="163"/>
      <c r="K178" s="163"/>
      <c r="L178" s="3"/>
    </row>
    <row r="179" spans="1:12" ht="31.5">
      <c r="A179" s="51" t="s">
        <v>71</v>
      </c>
      <c r="B179" s="48" t="s">
        <v>148</v>
      </c>
      <c r="C179" s="48" t="s">
        <v>283</v>
      </c>
      <c r="D179" s="48"/>
      <c r="E179" s="24">
        <f>E180+E182+E181</f>
        <v>1410</v>
      </c>
      <c r="F179" s="24">
        <f>F180+F182+F181</f>
        <v>-15.000000000000002</v>
      </c>
      <c r="G179" s="24">
        <f>G180+G182+G181</f>
        <v>1395</v>
      </c>
      <c r="H179" s="3"/>
      <c r="I179" s="136"/>
      <c r="J179" s="163"/>
      <c r="K179" s="163"/>
      <c r="L179" s="3"/>
    </row>
    <row r="180" spans="1:12" ht="31.5">
      <c r="A180" s="51" t="s">
        <v>18</v>
      </c>
      <c r="B180" s="48" t="s">
        <v>148</v>
      </c>
      <c r="C180" s="48" t="s">
        <v>283</v>
      </c>
      <c r="D180" s="48" t="s">
        <v>13</v>
      </c>
      <c r="E180" s="24">
        <v>1184.5</v>
      </c>
      <c r="F180" s="24">
        <v>-17.1</v>
      </c>
      <c r="G180" s="24">
        <f>E180+F180</f>
        <v>1167.4</v>
      </c>
      <c r="H180" s="3"/>
      <c r="I180" s="136"/>
      <c r="J180" s="163"/>
      <c r="K180" s="163"/>
      <c r="L180" s="3"/>
    </row>
    <row r="181" spans="1:12" ht="31.5">
      <c r="A181" s="26" t="s">
        <v>38</v>
      </c>
      <c r="B181" s="48" t="s">
        <v>148</v>
      </c>
      <c r="C181" s="48" t="s">
        <v>283</v>
      </c>
      <c r="D181" s="48" t="s">
        <v>22</v>
      </c>
      <c r="E181" s="24">
        <v>60</v>
      </c>
      <c r="F181" s="24">
        <v>0</v>
      </c>
      <c r="G181" s="24">
        <f>E181+F181</f>
        <v>60</v>
      </c>
      <c r="H181" s="3"/>
      <c r="I181" s="136"/>
      <c r="J181" s="163"/>
      <c r="K181" s="163"/>
      <c r="L181" s="3"/>
    </row>
    <row r="182" spans="1:12" ht="15.75">
      <c r="A182" s="86" t="s">
        <v>14</v>
      </c>
      <c r="B182" s="48" t="s">
        <v>148</v>
      </c>
      <c r="C182" s="48" t="s">
        <v>283</v>
      </c>
      <c r="D182" s="48" t="s">
        <v>17</v>
      </c>
      <c r="E182" s="24">
        <v>165.5</v>
      </c>
      <c r="F182" s="24">
        <v>2.1</v>
      </c>
      <c r="G182" s="24">
        <f>E182+F182</f>
        <v>167.6</v>
      </c>
      <c r="H182" s="3"/>
      <c r="I182" s="136"/>
      <c r="J182" s="163"/>
      <c r="K182" s="163"/>
      <c r="L182" s="3"/>
    </row>
    <row r="183" spans="1:12" ht="15.75">
      <c r="A183" s="12" t="s">
        <v>115</v>
      </c>
      <c r="B183" s="112" t="s">
        <v>148</v>
      </c>
      <c r="C183" s="13" t="s">
        <v>284</v>
      </c>
      <c r="D183" s="13" t="s">
        <v>0</v>
      </c>
      <c r="E183" s="14">
        <f>E184+E186+E188+E190</f>
        <v>6190</v>
      </c>
      <c r="F183" s="14">
        <f>F184+F186+F188+F190</f>
        <v>760</v>
      </c>
      <c r="G183" s="14">
        <f>G184+G186+G188+G190</f>
        <v>6950</v>
      </c>
      <c r="H183" s="3"/>
      <c r="I183" s="136"/>
      <c r="J183" s="163"/>
      <c r="K183" s="163"/>
      <c r="L183" s="3"/>
    </row>
    <row r="184" spans="1:12" ht="47.25">
      <c r="A184" s="18" t="s">
        <v>26</v>
      </c>
      <c r="B184" s="32" t="s">
        <v>148</v>
      </c>
      <c r="C184" s="17" t="s">
        <v>285</v>
      </c>
      <c r="D184" s="9"/>
      <c r="E184" s="10">
        <f>E185</f>
        <v>30</v>
      </c>
      <c r="F184" s="10">
        <f>F185</f>
        <v>0</v>
      </c>
      <c r="G184" s="10">
        <f>G185</f>
        <v>30</v>
      </c>
      <c r="H184" s="3"/>
      <c r="I184" s="136"/>
      <c r="J184" s="163"/>
      <c r="K184" s="163"/>
      <c r="L184" s="3"/>
    </row>
    <row r="185" spans="1:12" ht="31.5">
      <c r="A185" s="51" t="s">
        <v>18</v>
      </c>
      <c r="B185" s="48" t="s">
        <v>148</v>
      </c>
      <c r="C185" s="17" t="s">
        <v>285</v>
      </c>
      <c r="D185" s="48" t="s">
        <v>13</v>
      </c>
      <c r="E185" s="24">
        <v>30</v>
      </c>
      <c r="F185" s="24"/>
      <c r="G185" s="24">
        <f>E185+F185</f>
        <v>30</v>
      </c>
      <c r="H185" s="3"/>
      <c r="I185" s="136"/>
      <c r="J185" s="163"/>
      <c r="K185" s="163"/>
      <c r="L185" s="3"/>
    </row>
    <row r="186" spans="1:12" ht="63">
      <c r="A186" s="18" t="s">
        <v>27</v>
      </c>
      <c r="B186" s="32" t="s">
        <v>148</v>
      </c>
      <c r="C186" s="17" t="s">
        <v>286</v>
      </c>
      <c r="D186" s="9"/>
      <c r="E186" s="10">
        <f>E187</f>
        <v>5400</v>
      </c>
      <c r="F186" s="10">
        <f>F187</f>
        <v>760</v>
      </c>
      <c r="G186" s="10">
        <f>G187</f>
        <v>6160</v>
      </c>
      <c r="H186" s="3"/>
      <c r="I186" s="136"/>
      <c r="J186" s="163"/>
      <c r="K186" s="163"/>
      <c r="L186" s="3"/>
    </row>
    <row r="187" spans="1:12" ht="47.25">
      <c r="A187" s="88" t="s">
        <v>15</v>
      </c>
      <c r="B187" s="48" t="s">
        <v>148</v>
      </c>
      <c r="C187" s="17" t="s">
        <v>286</v>
      </c>
      <c r="D187" s="48" t="s">
        <v>16</v>
      </c>
      <c r="E187" s="24">
        <v>5400</v>
      </c>
      <c r="F187" s="24">
        <v>760</v>
      </c>
      <c r="G187" s="24">
        <f>E187+F187</f>
        <v>6160</v>
      </c>
      <c r="H187" s="3"/>
      <c r="I187" s="142"/>
      <c r="J187" s="163"/>
      <c r="K187" s="163"/>
      <c r="L187" s="3"/>
    </row>
    <row r="188" spans="1:12" ht="78.75">
      <c r="A188" s="64" t="s">
        <v>28</v>
      </c>
      <c r="B188" s="48" t="s">
        <v>148</v>
      </c>
      <c r="C188" s="17" t="s">
        <v>287</v>
      </c>
      <c r="D188" s="25"/>
      <c r="E188" s="24">
        <f>E189</f>
        <v>500</v>
      </c>
      <c r="F188" s="24">
        <f>F189</f>
        <v>0</v>
      </c>
      <c r="G188" s="24">
        <f>G189</f>
        <v>500</v>
      </c>
      <c r="H188" s="140"/>
      <c r="I188" s="136"/>
      <c r="J188" s="163"/>
      <c r="K188" s="163"/>
      <c r="L188" s="3"/>
    </row>
    <row r="189" spans="1:12" ht="31.5">
      <c r="A189" s="51" t="s">
        <v>18</v>
      </c>
      <c r="B189" s="48" t="s">
        <v>148</v>
      </c>
      <c r="C189" s="17" t="s">
        <v>287</v>
      </c>
      <c r="D189" s="48" t="s">
        <v>13</v>
      </c>
      <c r="E189" s="24">
        <v>500</v>
      </c>
      <c r="F189" s="24"/>
      <c r="G189" s="24">
        <f>E189+F189</f>
        <v>500</v>
      </c>
      <c r="H189" s="3"/>
      <c r="I189" s="136"/>
      <c r="J189" s="163"/>
      <c r="K189" s="163"/>
      <c r="L189" s="3"/>
    </row>
    <row r="190" spans="1:12" ht="31.5">
      <c r="A190" s="120" t="s">
        <v>100</v>
      </c>
      <c r="B190" s="48" t="s">
        <v>148</v>
      </c>
      <c r="C190" s="17" t="s">
        <v>288</v>
      </c>
      <c r="D190" s="25"/>
      <c r="E190" s="24">
        <f>E191</f>
        <v>260</v>
      </c>
      <c r="F190" s="24">
        <f>F191</f>
        <v>0</v>
      </c>
      <c r="G190" s="24">
        <f>G191</f>
        <v>260</v>
      </c>
      <c r="H190" s="3"/>
      <c r="I190" s="136"/>
      <c r="J190" s="163"/>
      <c r="K190" s="163"/>
      <c r="L190" s="3"/>
    </row>
    <row r="191" spans="1:12" ht="31.5">
      <c r="A191" s="51" t="s">
        <v>18</v>
      </c>
      <c r="B191" s="48" t="s">
        <v>148</v>
      </c>
      <c r="C191" s="17" t="s">
        <v>288</v>
      </c>
      <c r="D191" s="48" t="s">
        <v>13</v>
      </c>
      <c r="E191" s="24">
        <v>260</v>
      </c>
      <c r="F191" s="24"/>
      <c r="G191" s="24">
        <f>E191+F191</f>
        <v>260</v>
      </c>
      <c r="H191" s="3"/>
      <c r="I191" s="136"/>
      <c r="J191" s="163"/>
      <c r="K191" s="163"/>
      <c r="L191" s="3"/>
    </row>
    <row r="192" spans="1:12" ht="31.5">
      <c r="A192" s="12" t="s">
        <v>127</v>
      </c>
      <c r="B192" s="112" t="s">
        <v>148</v>
      </c>
      <c r="C192" s="13" t="s">
        <v>289</v>
      </c>
      <c r="D192" s="13" t="s">
        <v>0</v>
      </c>
      <c r="E192" s="14">
        <f aca="true" t="shared" si="0" ref="E192:G193">E193</f>
        <v>5</v>
      </c>
      <c r="F192" s="14">
        <f t="shared" si="0"/>
        <v>0</v>
      </c>
      <c r="G192" s="14">
        <f t="shared" si="0"/>
        <v>5</v>
      </c>
      <c r="H192" s="3"/>
      <c r="I192" s="136"/>
      <c r="J192" s="163"/>
      <c r="K192" s="163"/>
      <c r="L192" s="3"/>
    </row>
    <row r="193" spans="1:12" ht="47.25">
      <c r="A193" s="64" t="s">
        <v>150</v>
      </c>
      <c r="B193" s="48" t="s">
        <v>148</v>
      </c>
      <c r="C193" s="17" t="s">
        <v>290</v>
      </c>
      <c r="D193" s="25"/>
      <c r="E193" s="24">
        <f t="shared" si="0"/>
        <v>5</v>
      </c>
      <c r="F193" s="24">
        <f t="shared" si="0"/>
        <v>0</v>
      </c>
      <c r="G193" s="24">
        <f t="shared" si="0"/>
        <v>5</v>
      </c>
      <c r="H193" s="3"/>
      <c r="I193" s="136"/>
      <c r="J193" s="163"/>
      <c r="K193" s="163"/>
      <c r="L193" s="3"/>
    </row>
    <row r="194" spans="1:12" ht="31.5">
      <c r="A194" s="51" t="s">
        <v>18</v>
      </c>
      <c r="B194" s="48" t="s">
        <v>148</v>
      </c>
      <c r="C194" s="17" t="s">
        <v>290</v>
      </c>
      <c r="D194" s="48" t="s">
        <v>13</v>
      </c>
      <c r="E194" s="24">
        <v>5</v>
      </c>
      <c r="F194" s="24"/>
      <c r="G194" s="24">
        <f>E194+F194</f>
        <v>5</v>
      </c>
      <c r="H194" s="3"/>
      <c r="I194" s="136"/>
      <c r="J194" s="163"/>
      <c r="K194" s="163"/>
      <c r="L194" s="3"/>
    </row>
    <row r="195" spans="1:12" ht="47.25">
      <c r="A195" s="110" t="s">
        <v>128</v>
      </c>
      <c r="B195" s="105" t="s">
        <v>148</v>
      </c>
      <c r="C195" s="104" t="s">
        <v>234</v>
      </c>
      <c r="D195" s="104" t="s">
        <v>0</v>
      </c>
      <c r="E195" s="111">
        <f>E196+E201+E208+E211</f>
        <v>19787.4</v>
      </c>
      <c r="F195" s="111">
        <f>F196+F201+F208+F211</f>
        <v>0</v>
      </c>
      <c r="G195" s="111">
        <f>G196+G201+G208+G211</f>
        <v>19787.4</v>
      </c>
      <c r="H195" s="3"/>
      <c r="I195" s="136"/>
      <c r="J195" s="163"/>
      <c r="K195" s="163"/>
      <c r="L195" s="3"/>
    </row>
    <row r="196" spans="1:12" ht="31.5">
      <c r="A196" s="12" t="s">
        <v>129</v>
      </c>
      <c r="B196" s="112" t="s">
        <v>148</v>
      </c>
      <c r="C196" s="13" t="s">
        <v>254</v>
      </c>
      <c r="D196" s="13" t="s">
        <v>0</v>
      </c>
      <c r="E196" s="14">
        <f>E199+E197</f>
        <v>5560</v>
      </c>
      <c r="F196" s="14">
        <f>F199+F197</f>
        <v>0</v>
      </c>
      <c r="G196" s="14">
        <f>G199+G197</f>
        <v>5560</v>
      </c>
      <c r="H196" s="3"/>
      <c r="I196" s="136"/>
      <c r="J196" s="163"/>
      <c r="K196" s="163"/>
      <c r="L196" s="3"/>
    </row>
    <row r="197" spans="1:12" ht="63">
      <c r="A197" s="16" t="s">
        <v>46</v>
      </c>
      <c r="B197" s="32" t="s">
        <v>148</v>
      </c>
      <c r="C197" s="9" t="s">
        <v>255</v>
      </c>
      <c r="D197" s="9"/>
      <c r="E197" s="22">
        <f>E198</f>
        <v>5500</v>
      </c>
      <c r="F197" s="22">
        <f>F198</f>
        <v>0</v>
      </c>
      <c r="G197" s="22">
        <f>G198</f>
        <v>5500</v>
      </c>
      <c r="H197" s="3"/>
      <c r="I197" s="136"/>
      <c r="J197" s="163"/>
      <c r="K197" s="163"/>
      <c r="L197" s="3"/>
    </row>
    <row r="198" spans="1:12" ht="47.25">
      <c r="A198" s="26" t="s">
        <v>34</v>
      </c>
      <c r="B198" s="48" t="s">
        <v>148</v>
      </c>
      <c r="C198" s="40" t="s">
        <v>255</v>
      </c>
      <c r="D198" s="48" t="s">
        <v>35</v>
      </c>
      <c r="E198" s="22">
        <v>5500</v>
      </c>
      <c r="F198" s="22"/>
      <c r="G198" s="22">
        <f>E198+F198</f>
        <v>5500</v>
      </c>
      <c r="H198" s="3"/>
      <c r="I198" s="136"/>
      <c r="J198" s="163"/>
      <c r="K198" s="163"/>
      <c r="L198" s="3"/>
    </row>
    <row r="199" spans="1:12" ht="47.25">
      <c r="A199" s="46" t="s">
        <v>47</v>
      </c>
      <c r="B199" s="48" t="s">
        <v>148</v>
      </c>
      <c r="C199" s="40" t="s">
        <v>256</v>
      </c>
      <c r="D199" s="71"/>
      <c r="E199" s="22">
        <f>E200</f>
        <v>60</v>
      </c>
      <c r="F199" s="22">
        <f>F200</f>
        <v>0</v>
      </c>
      <c r="G199" s="22">
        <f>G200</f>
        <v>60</v>
      </c>
      <c r="H199" s="3"/>
      <c r="I199" s="136"/>
      <c r="J199" s="163"/>
      <c r="K199" s="163"/>
      <c r="L199" s="3"/>
    </row>
    <row r="200" spans="1:12" ht="31.5">
      <c r="A200" s="46" t="s">
        <v>18</v>
      </c>
      <c r="B200" s="48" t="s">
        <v>148</v>
      </c>
      <c r="C200" s="40" t="s">
        <v>256</v>
      </c>
      <c r="D200" s="48" t="s">
        <v>13</v>
      </c>
      <c r="E200" s="22">
        <v>60</v>
      </c>
      <c r="F200" s="22"/>
      <c r="G200" s="22">
        <f>E200+F200</f>
        <v>60</v>
      </c>
      <c r="H200" s="3"/>
      <c r="I200" s="136"/>
      <c r="J200" s="163"/>
      <c r="K200" s="163"/>
      <c r="L200" s="3"/>
    </row>
    <row r="201" spans="1:12" ht="47.25">
      <c r="A201" s="12" t="s">
        <v>151</v>
      </c>
      <c r="B201" s="112" t="s">
        <v>148</v>
      </c>
      <c r="C201" s="13" t="s">
        <v>257</v>
      </c>
      <c r="D201" s="13" t="s">
        <v>0</v>
      </c>
      <c r="E201" s="14">
        <f>E202+E206</f>
        <v>12991</v>
      </c>
      <c r="F201" s="14">
        <f>F202+F206</f>
        <v>0</v>
      </c>
      <c r="G201" s="14">
        <f>G202+G206</f>
        <v>12991</v>
      </c>
      <c r="H201" s="3"/>
      <c r="I201" s="136"/>
      <c r="J201" s="163"/>
      <c r="K201" s="163"/>
      <c r="L201" s="3"/>
    </row>
    <row r="202" spans="1:12" ht="15.75">
      <c r="A202" s="46" t="s">
        <v>104</v>
      </c>
      <c r="B202" s="48" t="s">
        <v>148</v>
      </c>
      <c r="C202" s="40" t="s">
        <v>258</v>
      </c>
      <c r="D202" s="48"/>
      <c r="E202" s="49">
        <f>E203+E204+E205</f>
        <v>12886</v>
      </c>
      <c r="F202" s="49">
        <f>F203+F204+F205</f>
        <v>0</v>
      </c>
      <c r="G202" s="49">
        <f>G203+G204+G205</f>
        <v>12886</v>
      </c>
      <c r="H202" s="3"/>
      <c r="I202" s="136"/>
      <c r="J202" s="163"/>
      <c r="K202" s="163"/>
      <c r="L202" s="3"/>
    </row>
    <row r="203" spans="1:12" ht="78.75">
      <c r="A203" s="26" t="s">
        <v>20</v>
      </c>
      <c r="B203" s="48" t="s">
        <v>148</v>
      </c>
      <c r="C203" s="40" t="s">
        <v>258</v>
      </c>
      <c r="D203" s="48" t="s">
        <v>21</v>
      </c>
      <c r="E203" s="24">
        <v>11307.5</v>
      </c>
      <c r="F203" s="24">
        <v>-35</v>
      </c>
      <c r="G203" s="24">
        <f>E203+F203</f>
        <v>11272.5</v>
      </c>
      <c r="H203" s="3"/>
      <c r="I203" s="136"/>
      <c r="J203" s="163"/>
      <c r="K203" s="163"/>
      <c r="L203" s="3"/>
    </row>
    <row r="204" spans="1:12" ht="31.5">
      <c r="A204" s="46" t="s">
        <v>18</v>
      </c>
      <c r="B204" s="48" t="s">
        <v>148</v>
      </c>
      <c r="C204" s="40" t="s">
        <v>258</v>
      </c>
      <c r="D204" s="48" t="s">
        <v>13</v>
      </c>
      <c r="E204" s="24">
        <v>1572.3</v>
      </c>
      <c r="F204" s="24">
        <v>35</v>
      </c>
      <c r="G204" s="24">
        <f>E204+F204</f>
        <v>1607.3</v>
      </c>
      <c r="H204" s="3"/>
      <c r="I204" s="136"/>
      <c r="J204" s="163"/>
      <c r="K204" s="163"/>
      <c r="L204" s="3"/>
    </row>
    <row r="205" spans="1:12" ht="15.75">
      <c r="A205" s="46" t="s">
        <v>14</v>
      </c>
      <c r="B205" s="48" t="s">
        <v>148</v>
      </c>
      <c r="C205" s="40" t="s">
        <v>382</v>
      </c>
      <c r="D205" s="48" t="s">
        <v>17</v>
      </c>
      <c r="E205" s="24">
        <v>6.199999999999999</v>
      </c>
      <c r="F205" s="24">
        <v>0</v>
      </c>
      <c r="G205" s="24">
        <f>E205+F205</f>
        <v>6.199999999999999</v>
      </c>
      <c r="H205" s="3"/>
      <c r="I205" s="136"/>
      <c r="J205" s="163"/>
      <c r="K205" s="163"/>
      <c r="L205" s="3"/>
    </row>
    <row r="206" spans="1:12" ht="31.5">
      <c r="A206" s="27" t="s">
        <v>48</v>
      </c>
      <c r="B206" s="32" t="s">
        <v>148</v>
      </c>
      <c r="C206" s="40" t="s">
        <v>259</v>
      </c>
      <c r="D206" s="25"/>
      <c r="E206" s="24">
        <f>E207</f>
        <v>105</v>
      </c>
      <c r="F206" s="24">
        <f>F207</f>
        <v>0</v>
      </c>
      <c r="G206" s="24">
        <f>G207</f>
        <v>105</v>
      </c>
      <c r="H206" s="3"/>
      <c r="I206" s="136"/>
      <c r="J206" s="163"/>
      <c r="K206" s="163"/>
      <c r="L206" s="3"/>
    </row>
    <row r="207" spans="1:12" ht="31.5">
      <c r="A207" s="46" t="s">
        <v>18</v>
      </c>
      <c r="B207" s="48" t="s">
        <v>148</v>
      </c>
      <c r="C207" s="40" t="s">
        <v>259</v>
      </c>
      <c r="D207" s="25" t="s">
        <v>13</v>
      </c>
      <c r="E207" s="24">
        <v>105</v>
      </c>
      <c r="F207" s="24"/>
      <c r="G207" s="24">
        <f>E207+F207</f>
        <v>105</v>
      </c>
      <c r="H207" s="3"/>
      <c r="I207" s="136"/>
      <c r="J207" s="163"/>
      <c r="K207" s="163"/>
      <c r="L207" s="3"/>
    </row>
    <row r="208" spans="1:12" ht="31.5">
      <c r="A208" s="28" t="s">
        <v>152</v>
      </c>
      <c r="B208" s="112" t="s">
        <v>148</v>
      </c>
      <c r="C208" s="13" t="s">
        <v>233</v>
      </c>
      <c r="D208" s="13"/>
      <c r="E208" s="14">
        <f aca="true" t="shared" si="1" ref="E208:G209">E209</f>
        <v>971.4</v>
      </c>
      <c r="F208" s="14">
        <f t="shared" si="1"/>
        <v>0</v>
      </c>
      <c r="G208" s="14">
        <f t="shared" si="1"/>
        <v>971.4</v>
      </c>
      <c r="H208" s="3"/>
      <c r="I208" s="136"/>
      <c r="J208" s="163"/>
      <c r="K208" s="163"/>
      <c r="L208" s="3"/>
    </row>
    <row r="209" spans="1:12" ht="53.25" customHeight="1">
      <c r="A209" s="26" t="s">
        <v>49</v>
      </c>
      <c r="B209" s="32" t="s">
        <v>148</v>
      </c>
      <c r="C209" s="40" t="s">
        <v>260</v>
      </c>
      <c r="D209" s="25"/>
      <c r="E209" s="49">
        <f t="shared" si="1"/>
        <v>971.4</v>
      </c>
      <c r="F209" s="49">
        <f t="shared" si="1"/>
        <v>0</v>
      </c>
      <c r="G209" s="49">
        <f t="shared" si="1"/>
        <v>971.4</v>
      </c>
      <c r="H209" s="3"/>
      <c r="I209" s="136"/>
      <c r="J209" s="163"/>
      <c r="K209" s="163"/>
      <c r="L209" s="3"/>
    </row>
    <row r="210" spans="1:12" ht="31.5">
      <c r="A210" s="46" t="s">
        <v>18</v>
      </c>
      <c r="B210" s="48" t="s">
        <v>148</v>
      </c>
      <c r="C210" s="40" t="s">
        <v>260</v>
      </c>
      <c r="D210" s="25" t="s">
        <v>13</v>
      </c>
      <c r="E210" s="24">
        <v>971.4</v>
      </c>
      <c r="F210" s="24">
        <v>0</v>
      </c>
      <c r="G210" s="24">
        <f>E210+F210</f>
        <v>971.4</v>
      </c>
      <c r="H210" s="3"/>
      <c r="I210" s="136"/>
      <c r="J210" s="163"/>
      <c r="K210" s="163"/>
      <c r="L210" s="3"/>
    </row>
    <row r="211" spans="1:12" ht="31.5">
      <c r="A211" s="28" t="s">
        <v>172</v>
      </c>
      <c r="B211" s="112" t="s">
        <v>148</v>
      </c>
      <c r="C211" s="13" t="s">
        <v>262</v>
      </c>
      <c r="D211" s="13"/>
      <c r="E211" s="14">
        <f>E212+E214+E216</f>
        <v>265</v>
      </c>
      <c r="F211" s="14">
        <f>F212+F214+F216</f>
        <v>0</v>
      </c>
      <c r="G211" s="14">
        <f>G212+G214+G216</f>
        <v>265</v>
      </c>
      <c r="H211" s="3"/>
      <c r="I211" s="136"/>
      <c r="J211" s="163"/>
      <c r="K211" s="163"/>
      <c r="L211" s="3"/>
    </row>
    <row r="212" spans="1:12" ht="94.5">
      <c r="A212" s="46" t="s">
        <v>173</v>
      </c>
      <c r="B212" s="48" t="s">
        <v>148</v>
      </c>
      <c r="C212" s="40" t="s">
        <v>263</v>
      </c>
      <c r="D212" s="25"/>
      <c r="E212" s="24">
        <f>E213</f>
        <v>80</v>
      </c>
      <c r="F212" s="24">
        <f>F213</f>
        <v>0</v>
      </c>
      <c r="G212" s="24">
        <f>G213</f>
        <v>80</v>
      </c>
      <c r="H212" s="3"/>
      <c r="I212" s="136"/>
      <c r="J212" s="163"/>
      <c r="K212" s="163"/>
      <c r="L212" s="3"/>
    </row>
    <row r="213" spans="1:12" ht="31.5">
      <c r="A213" s="46" t="s">
        <v>18</v>
      </c>
      <c r="B213" s="48" t="s">
        <v>148</v>
      </c>
      <c r="C213" s="40" t="s">
        <v>263</v>
      </c>
      <c r="D213" s="25" t="s">
        <v>13</v>
      </c>
      <c r="E213" s="24">
        <v>80</v>
      </c>
      <c r="F213" s="24"/>
      <c r="G213" s="24">
        <f>E213+F213</f>
        <v>80</v>
      </c>
      <c r="H213" s="3"/>
      <c r="I213" s="136"/>
      <c r="J213" s="163"/>
      <c r="K213" s="163"/>
      <c r="L213" s="3"/>
    </row>
    <row r="214" spans="1:12" ht="78.75">
      <c r="A214" s="46" t="s">
        <v>174</v>
      </c>
      <c r="B214" s="48" t="s">
        <v>148</v>
      </c>
      <c r="C214" s="40" t="s">
        <v>264</v>
      </c>
      <c r="D214" s="25"/>
      <c r="E214" s="24">
        <f>E215</f>
        <v>105</v>
      </c>
      <c r="F214" s="24">
        <f>F215</f>
        <v>0</v>
      </c>
      <c r="G214" s="24">
        <f>G215</f>
        <v>105</v>
      </c>
      <c r="H214" s="3"/>
      <c r="I214" s="136"/>
      <c r="J214" s="163"/>
      <c r="K214" s="163"/>
      <c r="L214" s="3"/>
    </row>
    <row r="215" spans="1:12" ht="31.5">
      <c r="A215" s="46" t="s">
        <v>18</v>
      </c>
      <c r="B215" s="48" t="s">
        <v>148</v>
      </c>
      <c r="C215" s="40" t="s">
        <v>264</v>
      </c>
      <c r="D215" s="25" t="s">
        <v>13</v>
      </c>
      <c r="E215" s="24">
        <v>105</v>
      </c>
      <c r="F215" s="24"/>
      <c r="G215" s="24">
        <f>E215+F215</f>
        <v>105</v>
      </c>
      <c r="H215" s="3"/>
      <c r="I215" s="136"/>
      <c r="J215" s="163"/>
      <c r="K215" s="163"/>
      <c r="L215" s="3"/>
    </row>
    <row r="216" spans="1:12" ht="63">
      <c r="A216" s="46" t="s">
        <v>175</v>
      </c>
      <c r="B216" s="48" t="s">
        <v>148</v>
      </c>
      <c r="C216" s="40" t="s">
        <v>265</v>
      </c>
      <c r="D216" s="25"/>
      <c r="E216" s="24">
        <f>E217+E218</f>
        <v>80</v>
      </c>
      <c r="F216" s="24">
        <f>F217+F218</f>
        <v>0</v>
      </c>
      <c r="G216" s="24">
        <f>G217+G218</f>
        <v>80</v>
      </c>
      <c r="H216" s="3"/>
      <c r="I216" s="136"/>
      <c r="J216" s="163"/>
      <c r="K216" s="163"/>
      <c r="L216" s="3"/>
    </row>
    <row r="217" spans="1:12" ht="31.5">
      <c r="A217" s="46" t="s">
        <v>18</v>
      </c>
      <c r="B217" s="48" t="s">
        <v>148</v>
      </c>
      <c r="C217" s="40" t="s">
        <v>265</v>
      </c>
      <c r="D217" s="25" t="s">
        <v>13</v>
      </c>
      <c r="E217" s="24">
        <v>40</v>
      </c>
      <c r="F217" s="24"/>
      <c r="G217" s="24">
        <f>E217+F217</f>
        <v>40</v>
      </c>
      <c r="H217" s="3"/>
      <c r="I217" s="136"/>
      <c r="J217" s="163"/>
      <c r="K217" s="163"/>
      <c r="L217" s="3"/>
    </row>
    <row r="218" spans="1:12" ht="31.5">
      <c r="A218" s="46" t="s">
        <v>38</v>
      </c>
      <c r="B218" s="48" t="s">
        <v>148</v>
      </c>
      <c r="C218" s="40" t="s">
        <v>265</v>
      </c>
      <c r="D218" s="25" t="s">
        <v>22</v>
      </c>
      <c r="E218" s="24">
        <v>40</v>
      </c>
      <c r="F218" s="24"/>
      <c r="G218" s="24">
        <f>E218+F218</f>
        <v>40</v>
      </c>
      <c r="H218" s="3"/>
      <c r="I218" s="136"/>
      <c r="J218" s="163"/>
      <c r="K218" s="163"/>
      <c r="L218" s="3"/>
    </row>
    <row r="219" spans="1:12" ht="31.5">
      <c r="A219" s="110" t="s">
        <v>153</v>
      </c>
      <c r="B219" s="121" t="s">
        <v>148</v>
      </c>
      <c r="C219" s="104" t="s">
        <v>295</v>
      </c>
      <c r="D219" s="104" t="s">
        <v>0</v>
      </c>
      <c r="E219" s="111">
        <f>E220+E225+E242</f>
        <v>43620.399999999994</v>
      </c>
      <c r="F219" s="111">
        <f>F220+F225+F242</f>
        <v>0</v>
      </c>
      <c r="G219" s="111">
        <f>G220+G225+G242</f>
        <v>43620.399999999994</v>
      </c>
      <c r="H219" s="3"/>
      <c r="I219" s="136"/>
      <c r="J219" s="163"/>
      <c r="K219" s="163"/>
      <c r="L219" s="3"/>
    </row>
    <row r="220" spans="1:12" ht="31.5">
      <c r="A220" s="12" t="s">
        <v>131</v>
      </c>
      <c r="B220" s="112" t="s">
        <v>148</v>
      </c>
      <c r="C220" s="13" t="s">
        <v>296</v>
      </c>
      <c r="D220" s="13" t="s">
        <v>0</v>
      </c>
      <c r="E220" s="14">
        <f>E221+E223</f>
        <v>50</v>
      </c>
      <c r="F220" s="14">
        <f>F221+F223</f>
        <v>0</v>
      </c>
      <c r="G220" s="14">
        <f>G221+G223</f>
        <v>50</v>
      </c>
      <c r="H220" s="3"/>
      <c r="I220" s="136"/>
      <c r="J220" s="163"/>
      <c r="K220" s="163"/>
      <c r="L220" s="3"/>
    </row>
    <row r="221" spans="1:12" ht="78.75">
      <c r="A221" s="16" t="s">
        <v>85</v>
      </c>
      <c r="B221" s="32" t="s">
        <v>148</v>
      </c>
      <c r="C221" s="17" t="s">
        <v>297</v>
      </c>
      <c r="D221" s="9"/>
      <c r="E221" s="10">
        <f>E222</f>
        <v>17</v>
      </c>
      <c r="F221" s="10">
        <f>F222</f>
        <v>0</v>
      </c>
      <c r="G221" s="10">
        <f>G222</f>
        <v>17</v>
      </c>
      <c r="H221" s="3"/>
      <c r="I221" s="136"/>
      <c r="J221" s="163"/>
      <c r="K221" s="163"/>
      <c r="L221" s="3"/>
    </row>
    <row r="222" spans="1:12" ht="31.5">
      <c r="A222" s="46" t="s">
        <v>18</v>
      </c>
      <c r="B222" s="48" t="s">
        <v>148</v>
      </c>
      <c r="C222" s="17" t="s">
        <v>297</v>
      </c>
      <c r="D222" s="48" t="s">
        <v>13</v>
      </c>
      <c r="E222" s="49">
        <v>17</v>
      </c>
      <c r="F222" s="49"/>
      <c r="G222" s="49">
        <f>E222+F222</f>
        <v>17</v>
      </c>
      <c r="H222" s="3"/>
      <c r="I222" s="136"/>
      <c r="J222" s="163"/>
      <c r="K222" s="163"/>
      <c r="L222" s="3"/>
    </row>
    <row r="223" spans="1:12" ht="31.5">
      <c r="A223" s="46" t="s">
        <v>86</v>
      </c>
      <c r="B223" s="48" t="s">
        <v>148</v>
      </c>
      <c r="C223" s="17" t="s">
        <v>298</v>
      </c>
      <c r="D223" s="48"/>
      <c r="E223" s="49">
        <f>E224</f>
        <v>33</v>
      </c>
      <c r="F223" s="49">
        <f>F224</f>
        <v>0</v>
      </c>
      <c r="G223" s="49">
        <f>G224</f>
        <v>33</v>
      </c>
      <c r="H223" s="3"/>
      <c r="I223" s="136"/>
      <c r="J223" s="163"/>
      <c r="K223" s="163"/>
      <c r="L223" s="3"/>
    </row>
    <row r="224" spans="1:12" ht="78.75">
      <c r="A224" s="26" t="s">
        <v>20</v>
      </c>
      <c r="B224" s="48" t="s">
        <v>148</v>
      </c>
      <c r="C224" s="17" t="s">
        <v>298</v>
      </c>
      <c r="D224" s="48" t="s">
        <v>21</v>
      </c>
      <c r="E224" s="49">
        <v>33</v>
      </c>
      <c r="F224" s="49">
        <v>0</v>
      </c>
      <c r="G224" s="49">
        <f>E224+F224</f>
        <v>33</v>
      </c>
      <c r="H224" s="3"/>
      <c r="I224" s="136"/>
      <c r="J224" s="163"/>
      <c r="K224" s="163"/>
      <c r="L224" s="3"/>
    </row>
    <row r="225" spans="1:12" ht="63">
      <c r="A225" s="12" t="s">
        <v>132</v>
      </c>
      <c r="B225" s="112" t="s">
        <v>148</v>
      </c>
      <c r="C225" s="13" t="s">
        <v>237</v>
      </c>
      <c r="D225" s="13" t="s">
        <v>0</v>
      </c>
      <c r="E225" s="14">
        <f>E226+E228+E230+E232+E236+E238+E240+E234</f>
        <v>43390.399999999994</v>
      </c>
      <c r="F225" s="14">
        <f>F226+F228+F230+F232+F236+F238+F240+F234</f>
        <v>0</v>
      </c>
      <c r="G225" s="14">
        <f>G226+G228+G230+G232+G236+G238+G240+G234</f>
        <v>43390.399999999994</v>
      </c>
      <c r="H225" s="3"/>
      <c r="I225" s="136"/>
      <c r="J225" s="163"/>
      <c r="K225" s="163"/>
      <c r="L225" s="3"/>
    </row>
    <row r="226" spans="1:12" ht="78.75">
      <c r="A226" s="26" t="s">
        <v>107</v>
      </c>
      <c r="B226" s="48" t="s">
        <v>148</v>
      </c>
      <c r="C226" s="48" t="s">
        <v>302</v>
      </c>
      <c r="D226" s="48"/>
      <c r="E226" s="49">
        <f>E227</f>
        <v>5873.8</v>
      </c>
      <c r="F226" s="49">
        <f>F227</f>
        <v>0</v>
      </c>
      <c r="G226" s="49">
        <f>G227</f>
        <v>5873.8</v>
      </c>
      <c r="H226" s="3"/>
      <c r="I226" s="136"/>
      <c r="J226" s="163"/>
      <c r="K226" s="163"/>
      <c r="L226" s="3"/>
    </row>
    <row r="227" spans="1:12" ht="47.25">
      <c r="A227" s="26" t="s">
        <v>40</v>
      </c>
      <c r="B227" s="48" t="s">
        <v>148</v>
      </c>
      <c r="C227" s="48" t="s">
        <v>302</v>
      </c>
      <c r="D227" s="48" t="s">
        <v>35</v>
      </c>
      <c r="E227" s="49">
        <v>5873.8</v>
      </c>
      <c r="F227" s="49">
        <v>0</v>
      </c>
      <c r="G227" s="49">
        <f>E227+F227</f>
        <v>5873.8</v>
      </c>
      <c r="H227" s="3"/>
      <c r="I227" s="136"/>
      <c r="J227" s="163"/>
      <c r="K227" s="163"/>
      <c r="L227" s="3"/>
    </row>
    <row r="228" spans="1:12" ht="141.75">
      <c r="A228" s="85" t="s">
        <v>108</v>
      </c>
      <c r="B228" s="32" t="s">
        <v>148</v>
      </c>
      <c r="C228" s="17" t="s">
        <v>304</v>
      </c>
      <c r="D228" s="17"/>
      <c r="E228" s="19">
        <f>E229</f>
        <v>24843.5</v>
      </c>
      <c r="F228" s="19">
        <f>F229</f>
        <v>0</v>
      </c>
      <c r="G228" s="19">
        <f>G229</f>
        <v>24843.5</v>
      </c>
      <c r="H228" s="3"/>
      <c r="I228" s="136"/>
      <c r="J228" s="163"/>
      <c r="K228" s="163"/>
      <c r="L228" s="3"/>
    </row>
    <row r="229" spans="1:12" ht="47.25">
      <c r="A229" s="26" t="s">
        <v>40</v>
      </c>
      <c r="B229" s="48" t="s">
        <v>148</v>
      </c>
      <c r="C229" s="17" t="s">
        <v>304</v>
      </c>
      <c r="D229" s="48" t="s">
        <v>35</v>
      </c>
      <c r="E229" s="49">
        <v>24843.5</v>
      </c>
      <c r="F229" s="49">
        <v>0</v>
      </c>
      <c r="G229" s="49">
        <f>E229+F229</f>
        <v>24843.5</v>
      </c>
      <c r="H229" s="3"/>
      <c r="I229" s="136"/>
      <c r="J229" s="163"/>
      <c r="K229" s="163"/>
      <c r="L229" s="3"/>
    </row>
    <row r="230" spans="1:12" ht="110.25">
      <c r="A230" s="162" t="s">
        <v>239</v>
      </c>
      <c r="B230" s="48" t="s">
        <v>148</v>
      </c>
      <c r="C230" s="48" t="s">
        <v>305</v>
      </c>
      <c r="D230" s="48"/>
      <c r="E230" s="49">
        <f>E231</f>
        <v>2131.8</v>
      </c>
      <c r="F230" s="49">
        <f>F231</f>
        <v>0</v>
      </c>
      <c r="G230" s="49">
        <f>G231</f>
        <v>2131.8</v>
      </c>
      <c r="H230" s="3"/>
      <c r="I230" s="136"/>
      <c r="J230" s="163"/>
      <c r="K230" s="163"/>
      <c r="L230" s="3"/>
    </row>
    <row r="231" spans="1:12" ht="47.25">
      <c r="A231" s="26" t="s">
        <v>40</v>
      </c>
      <c r="B231" s="48" t="s">
        <v>148</v>
      </c>
      <c r="C231" s="48" t="s">
        <v>305</v>
      </c>
      <c r="D231" s="48" t="s">
        <v>35</v>
      </c>
      <c r="E231" s="49">
        <v>2131.8</v>
      </c>
      <c r="F231" s="49"/>
      <c r="G231" s="49">
        <f>E231+F231</f>
        <v>2131.8</v>
      </c>
      <c r="H231" s="3"/>
      <c r="I231" s="136"/>
      <c r="J231" s="163"/>
      <c r="K231" s="163"/>
      <c r="L231" s="3"/>
    </row>
    <row r="232" spans="1:12" ht="78.75">
      <c r="A232" s="26" t="s">
        <v>110</v>
      </c>
      <c r="B232" s="48" t="s">
        <v>148</v>
      </c>
      <c r="C232" s="17" t="s">
        <v>303</v>
      </c>
      <c r="D232" s="48"/>
      <c r="E232" s="49">
        <f>E233</f>
        <v>2199.2000000000003</v>
      </c>
      <c r="F232" s="49">
        <f>F233</f>
        <v>0</v>
      </c>
      <c r="G232" s="49">
        <f>G233</f>
        <v>2199.2000000000003</v>
      </c>
      <c r="H232" s="3"/>
      <c r="I232" s="136"/>
      <c r="J232" s="163"/>
      <c r="K232" s="163"/>
      <c r="L232" s="3"/>
    </row>
    <row r="233" spans="1:12" ht="31.5">
      <c r="A233" s="46" t="s">
        <v>38</v>
      </c>
      <c r="B233" s="48" t="s">
        <v>148</v>
      </c>
      <c r="C233" s="17" t="s">
        <v>303</v>
      </c>
      <c r="D233" s="48" t="s">
        <v>22</v>
      </c>
      <c r="E233" s="49">
        <v>2199.2000000000003</v>
      </c>
      <c r="F233" s="49">
        <v>0</v>
      </c>
      <c r="G233" s="49">
        <f>E233+F233</f>
        <v>2199.2000000000003</v>
      </c>
      <c r="H233" s="3"/>
      <c r="I233" s="136"/>
      <c r="J233" s="163"/>
      <c r="K233" s="163"/>
      <c r="L233" s="3"/>
    </row>
    <row r="234" spans="1:12" ht="141.75">
      <c r="A234" s="186" t="s">
        <v>403</v>
      </c>
      <c r="B234" s="48" t="s">
        <v>148</v>
      </c>
      <c r="C234" s="185" t="s">
        <v>404</v>
      </c>
      <c r="D234" s="48"/>
      <c r="E234" s="49">
        <f>E235</f>
        <v>6300</v>
      </c>
      <c r="F234" s="49">
        <f>F235</f>
        <v>0</v>
      </c>
      <c r="G234" s="49">
        <f>G235</f>
        <v>6300</v>
      </c>
      <c r="H234" s="3"/>
      <c r="I234" s="136"/>
      <c r="J234" s="163"/>
      <c r="K234" s="163"/>
      <c r="L234" s="3"/>
    </row>
    <row r="235" spans="1:12" ht="31.5">
      <c r="A235" s="46" t="s">
        <v>38</v>
      </c>
      <c r="B235" s="48" t="s">
        <v>148</v>
      </c>
      <c r="C235" s="185" t="s">
        <v>404</v>
      </c>
      <c r="D235" s="48" t="s">
        <v>22</v>
      </c>
      <c r="E235" s="49">
        <v>6300</v>
      </c>
      <c r="F235" s="49">
        <v>0</v>
      </c>
      <c r="G235" s="49">
        <f>E235+F235</f>
        <v>6300</v>
      </c>
      <c r="H235" s="3"/>
      <c r="I235" s="136"/>
      <c r="J235" s="163"/>
      <c r="K235" s="163"/>
      <c r="L235" s="3"/>
    </row>
    <row r="236" spans="1:12" ht="47.25">
      <c r="A236" s="23" t="s">
        <v>391</v>
      </c>
      <c r="B236" s="32" t="s">
        <v>148</v>
      </c>
      <c r="C236" s="17" t="s">
        <v>390</v>
      </c>
      <c r="D236" s="17"/>
      <c r="E236" s="19">
        <f>E237</f>
        <v>559.7</v>
      </c>
      <c r="F236" s="19">
        <f>F237</f>
        <v>0</v>
      </c>
      <c r="G236" s="19">
        <f>G237</f>
        <v>559.7</v>
      </c>
      <c r="H236" s="3"/>
      <c r="I236" s="136"/>
      <c r="J236" s="163"/>
      <c r="K236" s="163"/>
      <c r="L236" s="3"/>
    </row>
    <row r="237" spans="1:12" ht="31.5">
      <c r="A237" s="46" t="s">
        <v>38</v>
      </c>
      <c r="B237" s="48" t="s">
        <v>148</v>
      </c>
      <c r="C237" s="17" t="s">
        <v>390</v>
      </c>
      <c r="D237" s="48" t="s">
        <v>22</v>
      </c>
      <c r="E237" s="49">
        <v>559.7</v>
      </c>
      <c r="F237" s="49">
        <v>0</v>
      </c>
      <c r="G237" s="49">
        <f>E237+F237</f>
        <v>559.7</v>
      </c>
      <c r="H237" s="30"/>
      <c r="I237" s="136"/>
      <c r="J237" s="163"/>
      <c r="K237" s="163"/>
      <c r="L237" s="3"/>
    </row>
    <row r="238" spans="1:12" ht="31.5">
      <c r="A238" s="23" t="s">
        <v>52</v>
      </c>
      <c r="B238" s="32" t="s">
        <v>148</v>
      </c>
      <c r="C238" s="17" t="s">
        <v>418</v>
      </c>
      <c r="D238" s="17"/>
      <c r="E238" s="19">
        <f>E239</f>
        <v>700</v>
      </c>
      <c r="F238" s="19">
        <f>F239</f>
        <v>0</v>
      </c>
      <c r="G238" s="19">
        <f>G239</f>
        <v>700</v>
      </c>
      <c r="H238" s="30"/>
      <c r="I238" s="136"/>
      <c r="J238" s="163"/>
      <c r="K238" s="163"/>
      <c r="L238" s="3"/>
    </row>
    <row r="239" spans="1:12" ht="31.5">
      <c r="A239" s="46" t="s">
        <v>38</v>
      </c>
      <c r="B239" s="48" t="s">
        <v>148</v>
      </c>
      <c r="C239" s="17" t="s">
        <v>418</v>
      </c>
      <c r="D239" s="48" t="s">
        <v>22</v>
      </c>
      <c r="E239" s="49">
        <v>700</v>
      </c>
      <c r="F239" s="49">
        <v>0</v>
      </c>
      <c r="G239" s="49">
        <f>E239+F239</f>
        <v>700</v>
      </c>
      <c r="H239" s="3"/>
      <c r="I239" s="136"/>
      <c r="J239" s="163"/>
      <c r="K239" s="163"/>
      <c r="L239" s="3"/>
    </row>
    <row r="240" spans="1:12" ht="63">
      <c r="A240" s="23" t="s">
        <v>392</v>
      </c>
      <c r="B240" s="32" t="s">
        <v>148</v>
      </c>
      <c r="C240" s="17" t="s">
        <v>393</v>
      </c>
      <c r="D240" s="17"/>
      <c r="E240" s="19">
        <f>E241</f>
        <v>782.4</v>
      </c>
      <c r="F240" s="19">
        <f>F241</f>
        <v>0</v>
      </c>
      <c r="G240" s="19">
        <f>G241</f>
        <v>782.4</v>
      </c>
      <c r="H240" s="3"/>
      <c r="I240" s="136"/>
      <c r="J240" s="163"/>
      <c r="K240" s="163"/>
      <c r="L240" s="3"/>
    </row>
    <row r="241" spans="1:12" ht="31.5">
      <c r="A241" s="46" t="s">
        <v>38</v>
      </c>
      <c r="B241" s="48" t="s">
        <v>148</v>
      </c>
      <c r="C241" s="17" t="s">
        <v>394</v>
      </c>
      <c r="D241" s="48" t="s">
        <v>22</v>
      </c>
      <c r="E241" s="49">
        <v>782.4</v>
      </c>
      <c r="F241" s="49">
        <v>0</v>
      </c>
      <c r="G241" s="49">
        <f>E241+F241</f>
        <v>782.4</v>
      </c>
      <c r="H241" s="3"/>
      <c r="I241" s="136"/>
      <c r="J241" s="163"/>
      <c r="K241" s="163"/>
      <c r="L241" s="3"/>
    </row>
    <row r="242" spans="1:12" ht="31.5">
      <c r="A242" s="12" t="s">
        <v>133</v>
      </c>
      <c r="B242" s="112" t="s">
        <v>148</v>
      </c>
      <c r="C242" s="13" t="s">
        <v>300</v>
      </c>
      <c r="D242" s="13" t="s">
        <v>0</v>
      </c>
      <c r="E242" s="14">
        <f>E243+E245+E247</f>
        <v>180</v>
      </c>
      <c r="F242" s="14">
        <f>F243+F245+F247</f>
        <v>0</v>
      </c>
      <c r="G242" s="14">
        <f>G243+G245+G247</f>
        <v>180</v>
      </c>
      <c r="H242" s="3"/>
      <c r="I242" s="136"/>
      <c r="J242" s="163"/>
      <c r="K242" s="163"/>
      <c r="L242" s="3"/>
    </row>
    <row r="243" spans="1:12" ht="47.25">
      <c r="A243" s="16" t="s">
        <v>53</v>
      </c>
      <c r="B243" s="32" t="s">
        <v>148</v>
      </c>
      <c r="C243" s="17" t="s">
        <v>301</v>
      </c>
      <c r="D243" s="17"/>
      <c r="E243" s="19">
        <f>E244</f>
        <v>80</v>
      </c>
      <c r="F243" s="19">
        <f>F244</f>
        <v>0</v>
      </c>
      <c r="G243" s="19">
        <f>G244</f>
        <v>80</v>
      </c>
      <c r="H243" s="3"/>
      <c r="I243" s="136"/>
      <c r="J243" s="163"/>
      <c r="K243" s="163"/>
      <c r="L243" s="3"/>
    </row>
    <row r="244" spans="1:12" ht="47.25">
      <c r="A244" s="88" t="s">
        <v>15</v>
      </c>
      <c r="B244" s="48" t="s">
        <v>148</v>
      </c>
      <c r="C244" s="17" t="s">
        <v>301</v>
      </c>
      <c r="D244" s="48" t="s">
        <v>16</v>
      </c>
      <c r="E244" s="49">
        <v>80</v>
      </c>
      <c r="F244" s="49">
        <v>0</v>
      </c>
      <c r="G244" s="49">
        <f>E244+F244</f>
        <v>80</v>
      </c>
      <c r="H244" s="3"/>
      <c r="I244" s="136"/>
      <c r="J244" s="163"/>
      <c r="K244" s="163"/>
      <c r="L244" s="3"/>
    </row>
    <row r="245" spans="1:12" ht="31.5">
      <c r="A245" s="16" t="s">
        <v>423</v>
      </c>
      <c r="B245" s="48" t="s">
        <v>148</v>
      </c>
      <c r="C245" s="17" t="s">
        <v>429</v>
      </c>
      <c r="D245" s="48"/>
      <c r="E245" s="19">
        <f>E246</f>
        <v>80</v>
      </c>
      <c r="F245" s="19">
        <f>F246</f>
        <v>0</v>
      </c>
      <c r="G245" s="19">
        <f>G246</f>
        <v>80</v>
      </c>
      <c r="H245" s="3"/>
      <c r="I245" s="136"/>
      <c r="J245" s="163"/>
      <c r="K245" s="163"/>
      <c r="L245" s="3"/>
    </row>
    <row r="246" spans="1:12" ht="47.25">
      <c r="A246" s="88" t="s">
        <v>15</v>
      </c>
      <c r="B246" s="48" t="s">
        <v>148</v>
      </c>
      <c r="C246" s="17" t="s">
        <v>429</v>
      </c>
      <c r="D246" s="48" t="s">
        <v>16</v>
      </c>
      <c r="E246" s="49">
        <v>80</v>
      </c>
      <c r="F246" s="49">
        <v>0</v>
      </c>
      <c r="G246" s="49">
        <f>E246+F246</f>
        <v>80</v>
      </c>
      <c r="H246" s="3"/>
      <c r="I246" s="136"/>
      <c r="J246" s="163"/>
      <c r="K246" s="163"/>
      <c r="L246" s="3"/>
    </row>
    <row r="247" spans="1:12" ht="31.5">
      <c r="A247" s="16" t="s">
        <v>423</v>
      </c>
      <c r="B247" s="177" t="s">
        <v>148</v>
      </c>
      <c r="C247" s="17" t="s">
        <v>428</v>
      </c>
      <c r="D247" s="48"/>
      <c r="E247" s="19">
        <f>E248</f>
        <v>20</v>
      </c>
      <c r="F247" s="19">
        <f>F248</f>
        <v>0</v>
      </c>
      <c r="G247" s="19">
        <f>G248</f>
        <v>20</v>
      </c>
      <c r="H247" s="3"/>
      <c r="I247" s="136"/>
      <c r="J247" s="163"/>
      <c r="K247" s="163"/>
      <c r="L247" s="3"/>
    </row>
    <row r="248" spans="1:12" ht="47.25">
      <c r="A248" s="88" t="s">
        <v>15</v>
      </c>
      <c r="B248" s="177" t="s">
        <v>148</v>
      </c>
      <c r="C248" s="189" t="s">
        <v>428</v>
      </c>
      <c r="D248" s="190" t="s">
        <v>16</v>
      </c>
      <c r="E248" s="49">
        <v>20</v>
      </c>
      <c r="F248" s="49">
        <v>0</v>
      </c>
      <c r="G248" s="49">
        <f>E248+F248</f>
        <v>20</v>
      </c>
      <c r="H248" s="3"/>
      <c r="I248" s="136"/>
      <c r="J248" s="163"/>
      <c r="K248" s="163"/>
      <c r="L248" s="3"/>
    </row>
    <row r="249" spans="1:12" ht="15.75">
      <c r="A249" s="187" t="s">
        <v>43</v>
      </c>
      <c r="B249" s="188" t="s">
        <v>148</v>
      </c>
      <c r="C249" s="188" t="s">
        <v>188</v>
      </c>
      <c r="D249" s="188" t="s">
        <v>0</v>
      </c>
      <c r="E249" s="122">
        <f>E252+E270+E272+E274+E254+E256+E258+E260+E262+E266+E250+E268+E264</f>
        <v>30800.60000000001</v>
      </c>
      <c r="F249" s="122">
        <f>F252+F270+F272+F274+F254+F256+F258+F260+F262+F266+F250+F268+F264</f>
        <v>359.4</v>
      </c>
      <c r="G249" s="122">
        <f>G252+G270+G272+G274+G254+G256+G258+G260+G262+G266+G250+G268+G264</f>
        <v>31160.000000000007</v>
      </c>
      <c r="H249" s="3"/>
      <c r="I249" s="136"/>
      <c r="J249" s="163"/>
      <c r="K249" s="163"/>
      <c r="L249" s="3"/>
    </row>
    <row r="250" spans="1:12" ht="15.75">
      <c r="A250" s="77" t="s">
        <v>419</v>
      </c>
      <c r="B250" s="32" t="s">
        <v>148</v>
      </c>
      <c r="C250" s="32" t="s">
        <v>420</v>
      </c>
      <c r="D250" s="32"/>
      <c r="E250" s="49">
        <f>E251</f>
        <v>63.4</v>
      </c>
      <c r="F250" s="49">
        <f>F251</f>
        <v>0</v>
      </c>
      <c r="G250" s="49">
        <f>G251</f>
        <v>63.4</v>
      </c>
      <c r="H250" s="3"/>
      <c r="I250" s="136"/>
      <c r="J250" s="163"/>
      <c r="K250" s="163"/>
      <c r="L250" s="3"/>
    </row>
    <row r="251" spans="1:12" ht="31.5">
      <c r="A251" s="166" t="s">
        <v>18</v>
      </c>
      <c r="B251" s="32" t="s">
        <v>148</v>
      </c>
      <c r="C251" s="32" t="s">
        <v>420</v>
      </c>
      <c r="D251" s="32" t="s">
        <v>13</v>
      </c>
      <c r="E251" s="49">
        <v>63.4</v>
      </c>
      <c r="F251" s="49">
        <v>0</v>
      </c>
      <c r="G251" s="49">
        <f>E251+F251</f>
        <v>63.4</v>
      </c>
      <c r="H251" s="3"/>
      <c r="I251" s="136"/>
      <c r="J251" s="163"/>
      <c r="K251" s="163"/>
      <c r="L251" s="3"/>
    </row>
    <row r="252" spans="1:12" ht="31.5">
      <c r="A252" s="26" t="s">
        <v>101</v>
      </c>
      <c r="B252" s="32" t="s">
        <v>148</v>
      </c>
      <c r="C252" s="48" t="s">
        <v>196</v>
      </c>
      <c r="D252" s="76"/>
      <c r="E252" s="42">
        <f>E253</f>
        <v>28921.5</v>
      </c>
      <c r="F252" s="42">
        <f>F253</f>
        <v>380</v>
      </c>
      <c r="G252" s="42">
        <f>G253</f>
        <v>29301.5</v>
      </c>
      <c r="H252" s="3"/>
      <c r="J252" s="163"/>
      <c r="K252" s="163"/>
      <c r="L252" s="3"/>
    </row>
    <row r="253" spans="1:12" ht="15.75">
      <c r="A253" s="53" t="s">
        <v>14</v>
      </c>
      <c r="B253" s="48" t="s">
        <v>148</v>
      </c>
      <c r="C253" s="48" t="s">
        <v>196</v>
      </c>
      <c r="D253" s="48" t="s">
        <v>17</v>
      </c>
      <c r="E253" s="49">
        <v>28921.5</v>
      </c>
      <c r="F253" s="49">
        <f>441-61</f>
        <v>380</v>
      </c>
      <c r="G253" s="49">
        <f>E253+F253</f>
        <v>29301.5</v>
      </c>
      <c r="H253" s="30"/>
      <c r="J253" s="163"/>
      <c r="K253" s="163"/>
      <c r="L253" s="3"/>
    </row>
    <row r="254" spans="1:12" ht="78.75">
      <c r="A254" s="53" t="s">
        <v>359</v>
      </c>
      <c r="B254" s="32" t="s">
        <v>148</v>
      </c>
      <c r="C254" s="48" t="s">
        <v>354</v>
      </c>
      <c r="D254" s="76"/>
      <c r="E254" s="49">
        <f>E255</f>
        <v>8.7</v>
      </c>
      <c r="F254" s="49">
        <f>F255</f>
        <v>0</v>
      </c>
      <c r="G254" s="49">
        <f>G255</f>
        <v>8.7</v>
      </c>
      <c r="H254" s="30"/>
      <c r="J254" s="163"/>
      <c r="K254" s="163"/>
      <c r="L254" s="3"/>
    </row>
    <row r="255" spans="1:12" ht="31.5">
      <c r="A255" s="166" t="s">
        <v>18</v>
      </c>
      <c r="B255" s="48" t="s">
        <v>148</v>
      </c>
      <c r="C255" s="48" t="s">
        <v>354</v>
      </c>
      <c r="D255" s="48" t="s">
        <v>13</v>
      </c>
      <c r="E255" s="49">
        <v>8.7</v>
      </c>
      <c r="F255" s="49"/>
      <c r="G255" s="49">
        <f>E255+F255</f>
        <v>8.7</v>
      </c>
      <c r="H255" s="30"/>
      <c r="J255" s="163"/>
      <c r="K255" s="163"/>
      <c r="L255" s="3"/>
    </row>
    <row r="256" spans="1:12" ht="94.5">
      <c r="A256" s="53" t="s">
        <v>360</v>
      </c>
      <c r="B256" s="32" t="s">
        <v>148</v>
      </c>
      <c r="C256" s="48" t="s">
        <v>355</v>
      </c>
      <c r="D256" s="76"/>
      <c r="E256" s="49">
        <f>E257</f>
        <v>7.9</v>
      </c>
      <c r="F256" s="49">
        <f>F257</f>
        <v>0</v>
      </c>
      <c r="G256" s="49">
        <f>G257</f>
        <v>7.9</v>
      </c>
      <c r="H256" s="30"/>
      <c r="J256" s="163"/>
      <c r="K256" s="163"/>
      <c r="L256" s="3"/>
    </row>
    <row r="257" spans="1:12" ht="31.5">
      <c r="A257" s="166" t="s">
        <v>18</v>
      </c>
      <c r="B257" s="48" t="s">
        <v>148</v>
      </c>
      <c r="C257" s="48" t="s">
        <v>355</v>
      </c>
      <c r="D257" s="48" t="s">
        <v>13</v>
      </c>
      <c r="E257" s="49">
        <v>7.9</v>
      </c>
      <c r="F257" s="49"/>
      <c r="G257" s="49">
        <f>E257+F257</f>
        <v>7.9</v>
      </c>
      <c r="H257" s="30"/>
      <c r="J257" s="163"/>
      <c r="K257" s="163"/>
      <c r="L257" s="3"/>
    </row>
    <row r="258" spans="1:12" ht="94.5">
      <c r="A258" s="53" t="s">
        <v>361</v>
      </c>
      <c r="B258" s="32" t="s">
        <v>148</v>
      </c>
      <c r="C258" s="48" t="s">
        <v>356</v>
      </c>
      <c r="D258" s="76"/>
      <c r="E258" s="49">
        <f>E259</f>
        <v>7.3</v>
      </c>
      <c r="F258" s="49">
        <f>F259</f>
        <v>0</v>
      </c>
      <c r="G258" s="49">
        <f>G259</f>
        <v>7.3</v>
      </c>
      <c r="H258" s="30"/>
      <c r="J258" s="163"/>
      <c r="K258" s="163"/>
      <c r="L258" s="3"/>
    </row>
    <row r="259" spans="1:12" ht="31.5">
      <c r="A259" s="166" t="s">
        <v>18</v>
      </c>
      <c r="B259" s="48" t="s">
        <v>148</v>
      </c>
      <c r="C259" s="48" t="s">
        <v>356</v>
      </c>
      <c r="D259" s="48" t="s">
        <v>13</v>
      </c>
      <c r="E259" s="49">
        <v>7.3</v>
      </c>
      <c r="F259" s="49"/>
      <c r="G259" s="49">
        <f>E259+F259</f>
        <v>7.3</v>
      </c>
      <c r="H259" s="30"/>
      <c r="J259" s="163"/>
      <c r="K259" s="163"/>
      <c r="L259" s="3"/>
    </row>
    <row r="260" spans="1:12" ht="384.75" customHeight="1">
      <c r="A260" s="166" t="s">
        <v>399</v>
      </c>
      <c r="B260" s="32" t="s">
        <v>148</v>
      </c>
      <c r="C260" s="48" t="s">
        <v>357</v>
      </c>
      <c r="D260" s="76"/>
      <c r="E260" s="49">
        <f>E261</f>
        <v>5.9</v>
      </c>
      <c r="F260" s="49">
        <f>F261</f>
        <v>0</v>
      </c>
      <c r="G260" s="49">
        <f>G261</f>
        <v>5.9</v>
      </c>
      <c r="H260" s="30"/>
      <c r="J260" s="163"/>
      <c r="K260" s="163"/>
      <c r="L260" s="3"/>
    </row>
    <row r="261" spans="1:12" ht="31.5">
      <c r="A261" s="166" t="s">
        <v>18</v>
      </c>
      <c r="B261" s="48" t="s">
        <v>148</v>
      </c>
      <c r="C261" s="48" t="s">
        <v>357</v>
      </c>
      <c r="D261" s="48" t="s">
        <v>13</v>
      </c>
      <c r="E261" s="49">
        <v>5.9</v>
      </c>
      <c r="F261" s="49"/>
      <c r="G261" s="49">
        <f>E261+F261</f>
        <v>5.9</v>
      </c>
      <c r="H261" s="30"/>
      <c r="J261" s="163"/>
      <c r="K261" s="163"/>
      <c r="L261" s="3"/>
    </row>
    <row r="262" spans="1:12" ht="110.25">
      <c r="A262" s="166" t="s">
        <v>362</v>
      </c>
      <c r="B262" s="32" t="s">
        <v>148</v>
      </c>
      <c r="C262" s="48" t="s">
        <v>358</v>
      </c>
      <c r="D262" s="76"/>
      <c r="E262" s="49">
        <f>E263</f>
        <v>5.9</v>
      </c>
      <c r="F262" s="49">
        <f>F263</f>
        <v>0</v>
      </c>
      <c r="G262" s="49">
        <f>G263</f>
        <v>5.9</v>
      </c>
      <c r="H262" s="30"/>
      <c r="J262" s="163"/>
      <c r="K262" s="163"/>
      <c r="L262" s="3"/>
    </row>
    <row r="263" spans="1:12" ht="31.5">
      <c r="A263" s="166" t="s">
        <v>18</v>
      </c>
      <c r="B263" s="48" t="s">
        <v>148</v>
      </c>
      <c r="C263" s="48" t="s">
        <v>358</v>
      </c>
      <c r="D263" s="48" t="s">
        <v>13</v>
      </c>
      <c r="E263" s="49">
        <v>5.9</v>
      </c>
      <c r="F263" s="49"/>
      <c r="G263" s="49">
        <f>E263+F263</f>
        <v>5.9</v>
      </c>
      <c r="H263" s="30"/>
      <c r="J263" s="163"/>
      <c r="K263" s="163"/>
      <c r="L263" s="3"/>
    </row>
    <row r="264" spans="1:12" ht="110.25">
      <c r="A264" s="166" t="s">
        <v>433</v>
      </c>
      <c r="B264" s="48" t="s">
        <v>148</v>
      </c>
      <c r="C264" s="48" t="s">
        <v>432</v>
      </c>
      <c r="D264" s="48"/>
      <c r="E264" s="49">
        <f>E265</f>
        <v>5.9</v>
      </c>
      <c r="F264" s="49">
        <f>F265</f>
        <v>0</v>
      </c>
      <c r="G264" s="49">
        <f>G265</f>
        <v>5.9</v>
      </c>
      <c r="H264" s="30"/>
      <c r="J264" s="163"/>
      <c r="K264" s="163"/>
      <c r="L264" s="3"/>
    </row>
    <row r="265" spans="1:12" ht="31.5">
      <c r="A265" s="166" t="s">
        <v>18</v>
      </c>
      <c r="B265" s="48" t="s">
        <v>148</v>
      </c>
      <c r="C265" s="48" t="s">
        <v>432</v>
      </c>
      <c r="D265" s="48" t="s">
        <v>13</v>
      </c>
      <c r="E265" s="49">
        <v>5.9</v>
      </c>
      <c r="F265" s="49">
        <v>0</v>
      </c>
      <c r="G265" s="49">
        <f>E265+F265</f>
        <v>5.9</v>
      </c>
      <c r="H265" s="30"/>
      <c r="J265" s="163"/>
      <c r="K265" s="163"/>
      <c r="L265" s="3"/>
    </row>
    <row r="266" spans="1:12" ht="31.5">
      <c r="A266" s="53" t="s">
        <v>369</v>
      </c>
      <c r="B266" s="48" t="s">
        <v>148</v>
      </c>
      <c r="C266" s="48" t="s">
        <v>375</v>
      </c>
      <c r="D266" s="48"/>
      <c r="E266" s="49">
        <f>E267</f>
        <v>198.4</v>
      </c>
      <c r="F266" s="49">
        <f>F267</f>
        <v>0</v>
      </c>
      <c r="G266" s="49">
        <f>G267</f>
        <v>198.4</v>
      </c>
      <c r="H266" s="30"/>
      <c r="J266" s="163"/>
      <c r="K266" s="163"/>
      <c r="L266" s="3"/>
    </row>
    <row r="267" spans="1:12" ht="31.5">
      <c r="A267" s="170" t="s">
        <v>18</v>
      </c>
      <c r="B267" s="48" t="s">
        <v>148</v>
      </c>
      <c r="C267" s="48" t="s">
        <v>375</v>
      </c>
      <c r="D267" s="48" t="s">
        <v>13</v>
      </c>
      <c r="E267" s="49">
        <v>198.4</v>
      </c>
      <c r="F267" s="49"/>
      <c r="G267" s="49">
        <f>E267+F267</f>
        <v>198.4</v>
      </c>
      <c r="H267" s="30"/>
      <c r="J267" s="163"/>
      <c r="K267" s="163"/>
      <c r="L267" s="3"/>
    </row>
    <row r="268" spans="1:12" ht="63">
      <c r="A268" s="62" t="s">
        <v>422</v>
      </c>
      <c r="B268" s="48" t="s">
        <v>148</v>
      </c>
      <c r="C268" s="48" t="s">
        <v>421</v>
      </c>
      <c r="D268" s="48"/>
      <c r="E268" s="49">
        <f>E269</f>
        <v>166.8</v>
      </c>
      <c r="F268" s="49">
        <f>F269</f>
        <v>45</v>
      </c>
      <c r="G268" s="49">
        <f>G269</f>
        <v>211.8</v>
      </c>
      <c r="H268" s="30"/>
      <c r="J268" s="163"/>
      <c r="K268" s="163"/>
      <c r="L268" s="3"/>
    </row>
    <row r="269" spans="1:12" ht="31.5">
      <c r="A269" s="170" t="s">
        <v>18</v>
      </c>
      <c r="B269" s="48" t="s">
        <v>148</v>
      </c>
      <c r="C269" s="48" t="s">
        <v>421</v>
      </c>
      <c r="D269" s="48" t="s">
        <v>13</v>
      </c>
      <c r="E269" s="49">
        <v>166.8</v>
      </c>
      <c r="F269" s="49">
        <v>45</v>
      </c>
      <c r="G269" s="49">
        <f>E269+F269</f>
        <v>211.8</v>
      </c>
      <c r="H269" s="30"/>
      <c r="J269" s="163"/>
      <c r="K269" s="163"/>
      <c r="L269" s="3"/>
    </row>
    <row r="270" spans="1:12" ht="47.25">
      <c r="A270" s="46" t="s">
        <v>69</v>
      </c>
      <c r="B270" s="48" t="s">
        <v>148</v>
      </c>
      <c r="C270" s="48" t="s">
        <v>197</v>
      </c>
      <c r="D270" s="72"/>
      <c r="E270" s="49">
        <f>E271</f>
        <v>336.9</v>
      </c>
      <c r="F270" s="49">
        <f>F271</f>
        <v>0</v>
      </c>
      <c r="G270" s="49">
        <f>G271</f>
        <v>336.9</v>
      </c>
      <c r="H270" s="143"/>
      <c r="J270" s="191"/>
      <c r="K270" s="191"/>
      <c r="L270" s="143"/>
    </row>
    <row r="271" spans="1:12" ht="31.5">
      <c r="A271" s="53" t="s">
        <v>18</v>
      </c>
      <c r="B271" s="48" t="s">
        <v>148</v>
      </c>
      <c r="C271" s="48" t="s">
        <v>197</v>
      </c>
      <c r="D271" s="25" t="s">
        <v>13</v>
      </c>
      <c r="E271" s="49">
        <v>336.9</v>
      </c>
      <c r="F271" s="49"/>
      <c r="G271" s="49">
        <f>E271+F271</f>
        <v>336.9</v>
      </c>
      <c r="H271" s="145">
        <f>E270+E272</f>
        <v>774.0999999999999</v>
      </c>
      <c r="J271" s="191"/>
      <c r="K271" s="191"/>
      <c r="L271" s="143"/>
    </row>
    <row r="272" spans="1:12" ht="31.5">
      <c r="A272" s="96" t="s">
        <v>240</v>
      </c>
      <c r="B272" s="48" t="s">
        <v>148</v>
      </c>
      <c r="C272" s="48" t="s">
        <v>238</v>
      </c>
      <c r="D272" s="25"/>
      <c r="E272" s="49">
        <f>E273</f>
        <v>437.2</v>
      </c>
      <c r="F272" s="49">
        <f>F273</f>
        <v>-65.6</v>
      </c>
      <c r="G272" s="49">
        <f>G273</f>
        <v>371.6</v>
      </c>
      <c r="H272" s="145"/>
      <c r="I272" s="144"/>
      <c r="J272" s="191"/>
      <c r="K272" s="191"/>
      <c r="L272" s="143"/>
    </row>
    <row r="273" spans="1:12" ht="31.5">
      <c r="A273" s="51" t="s">
        <v>18</v>
      </c>
      <c r="B273" s="48" t="s">
        <v>148</v>
      </c>
      <c r="C273" s="48" t="s">
        <v>238</v>
      </c>
      <c r="D273" s="48" t="s">
        <v>13</v>
      </c>
      <c r="E273" s="49">
        <v>437.2</v>
      </c>
      <c r="F273" s="49">
        <v>-65.6</v>
      </c>
      <c r="G273" s="49">
        <f>E273+F273</f>
        <v>371.6</v>
      </c>
      <c r="H273" s="145"/>
      <c r="I273" s="144"/>
      <c r="J273" s="191"/>
      <c r="K273" s="191"/>
      <c r="L273" s="143"/>
    </row>
    <row r="274" spans="1:12" ht="63">
      <c r="A274" s="53" t="s">
        <v>102</v>
      </c>
      <c r="B274" s="48" t="s">
        <v>148</v>
      </c>
      <c r="C274" s="48" t="s">
        <v>198</v>
      </c>
      <c r="D274" s="48"/>
      <c r="E274" s="56">
        <f>E275</f>
        <v>634.8</v>
      </c>
      <c r="F274" s="56">
        <f>F275</f>
        <v>0</v>
      </c>
      <c r="G274" s="56">
        <f>G275</f>
        <v>634.8</v>
      </c>
      <c r="H274" s="143"/>
      <c r="I274" s="144"/>
      <c r="J274" s="191"/>
      <c r="K274" s="191"/>
      <c r="L274" s="143"/>
    </row>
    <row r="275" spans="1:12" ht="31.5">
      <c r="A275" s="53" t="s">
        <v>38</v>
      </c>
      <c r="B275" s="48" t="s">
        <v>148</v>
      </c>
      <c r="C275" s="48" t="s">
        <v>198</v>
      </c>
      <c r="D275" s="48" t="s">
        <v>22</v>
      </c>
      <c r="E275" s="56">
        <v>634.8</v>
      </c>
      <c r="F275" s="56"/>
      <c r="G275" s="56">
        <f>E275+F275</f>
        <v>634.8</v>
      </c>
      <c r="H275" s="143"/>
      <c r="I275" s="144"/>
      <c r="J275" s="191"/>
      <c r="K275" s="191"/>
      <c r="L275" s="143"/>
    </row>
    <row r="276" spans="1:12" ht="31.5">
      <c r="A276" s="37" t="s">
        <v>154</v>
      </c>
      <c r="B276" s="38" t="s">
        <v>155</v>
      </c>
      <c r="C276" s="109"/>
      <c r="D276" s="109"/>
      <c r="E276" s="36">
        <f>E277+E317</f>
        <v>128337.5</v>
      </c>
      <c r="F276" s="36">
        <f>F277+F317</f>
        <v>5.684341886080802E-14</v>
      </c>
      <c r="G276" s="36">
        <f>G277+G317</f>
        <v>128337.5</v>
      </c>
      <c r="H276" s="145"/>
      <c r="I276" s="145"/>
      <c r="J276" s="191"/>
      <c r="K276" s="191"/>
      <c r="L276" s="143"/>
    </row>
    <row r="277" spans="1:12" ht="47.25">
      <c r="A277" s="110" t="s">
        <v>122</v>
      </c>
      <c r="B277" s="104" t="s">
        <v>155</v>
      </c>
      <c r="C277" s="104" t="s">
        <v>242</v>
      </c>
      <c r="D277" s="104" t="s">
        <v>0</v>
      </c>
      <c r="E277" s="111">
        <f>E278+E295+E297+E299+E301+E303+E308+E312+E284+E286+E280+E282+E291+E293+E289+E306</f>
        <v>127265.2</v>
      </c>
      <c r="F277" s="111">
        <f>F278+F295+F297+F299+F301+F303+F308+F312+F284+F286+F280+F282+F291+F293+F289+F306</f>
        <v>5.684341886080802E-14</v>
      </c>
      <c r="G277" s="111">
        <f>G278+G295+G297+G299+G301+G303+G308+G312+G284+G286+G280+G282+G291+G293+G289+G306</f>
        <v>127265.2</v>
      </c>
      <c r="H277" s="145">
        <v>122182.5</v>
      </c>
      <c r="I277" s="165">
        <f>E277-H277</f>
        <v>5082.699999999997</v>
      </c>
      <c r="J277" s="191"/>
      <c r="K277" s="191"/>
      <c r="L277" s="143"/>
    </row>
    <row r="278" spans="1:11" ht="31.5">
      <c r="A278" s="46" t="s">
        <v>73</v>
      </c>
      <c r="B278" s="48" t="s">
        <v>155</v>
      </c>
      <c r="C278" s="48" t="s">
        <v>241</v>
      </c>
      <c r="D278" s="48"/>
      <c r="E278" s="41">
        <f>E279</f>
        <v>27877.1</v>
      </c>
      <c r="F278" s="41">
        <f>F279</f>
        <v>0</v>
      </c>
      <c r="G278" s="41">
        <f>G279</f>
        <v>27877.1</v>
      </c>
      <c r="H278" s="135"/>
      <c r="I278" s="146"/>
      <c r="J278" s="192"/>
      <c r="K278" s="192"/>
    </row>
    <row r="279" spans="1:11" ht="47.25">
      <c r="A279" s="87" t="s">
        <v>15</v>
      </c>
      <c r="B279" s="48" t="s">
        <v>155</v>
      </c>
      <c r="C279" s="48" t="s">
        <v>241</v>
      </c>
      <c r="D279" s="48" t="s">
        <v>16</v>
      </c>
      <c r="E279" s="24">
        <v>27877.1</v>
      </c>
      <c r="F279" s="24">
        <v>0</v>
      </c>
      <c r="G279" s="24">
        <f>E279+F279</f>
        <v>27877.1</v>
      </c>
      <c r="H279" s="135"/>
      <c r="I279" s="146"/>
      <c r="J279" s="192"/>
      <c r="K279" s="192"/>
    </row>
    <row r="280" spans="1:11" ht="31.5">
      <c r="A280" s="26" t="s">
        <v>374</v>
      </c>
      <c r="B280" s="48" t="s">
        <v>155</v>
      </c>
      <c r="C280" s="48" t="s">
        <v>373</v>
      </c>
      <c r="D280" s="48"/>
      <c r="E280" s="24">
        <f>E281</f>
        <v>150</v>
      </c>
      <c r="F280" s="24">
        <f>F281</f>
        <v>0</v>
      </c>
      <c r="G280" s="24">
        <f>G281</f>
        <v>150</v>
      </c>
      <c r="H280" s="135"/>
      <c r="I280" s="146"/>
      <c r="J280" s="192"/>
      <c r="K280" s="192"/>
    </row>
    <row r="281" spans="1:11" ht="47.25">
      <c r="A281" s="87" t="s">
        <v>15</v>
      </c>
      <c r="B281" s="48" t="s">
        <v>155</v>
      </c>
      <c r="C281" s="48" t="s">
        <v>373</v>
      </c>
      <c r="D281" s="48" t="s">
        <v>16</v>
      </c>
      <c r="E281" s="24">
        <v>150</v>
      </c>
      <c r="F281" s="24">
        <v>0</v>
      </c>
      <c r="G281" s="24">
        <f>E281+F281</f>
        <v>150</v>
      </c>
      <c r="H281" s="135"/>
      <c r="I281" s="146"/>
      <c r="J281" s="192"/>
      <c r="K281" s="192"/>
    </row>
    <row r="282" spans="1:11" ht="31.5">
      <c r="A282" s="26" t="s">
        <v>412</v>
      </c>
      <c r="B282" s="48" t="s">
        <v>155</v>
      </c>
      <c r="C282" s="48" t="s">
        <v>413</v>
      </c>
      <c r="D282" s="48"/>
      <c r="E282" s="24">
        <f>E283</f>
        <v>81.5</v>
      </c>
      <c r="F282" s="24">
        <f>F283</f>
        <v>0</v>
      </c>
      <c r="G282" s="24">
        <f>G283</f>
        <v>81.5</v>
      </c>
      <c r="H282" s="135"/>
      <c r="I282" s="146"/>
      <c r="J282" s="192"/>
      <c r="K282" s="192"/>
    </row>
    <row r="283" spans="1:11" ht="47.25">
      <c r="A283" s="26" t="s">
        <v>15</v>
      </c>
      <c r="B283" s="48" t="s">
        <v>155</v>
      </c>
      <c r="C283" s="48" t="s">
        <v>413</v>
      </c>
      <c r="D283" s="48" t="s">
        <v>16</v>
      </c>
      <c r="E283" s="24">
        <v>81.5</v>
      </c>
      <c r="F283" s="24">
        <v>0</v>
      </c>
      <c r="G283" s="24">
        <f>E283+F283</f>
        <v>81.5</v>
      </c>
      <c r="H283" s="135"/>
      <c r="I283" s="146"/>
      <c r="J283" s="192"/>
      <c r="K283" s="192"/>
    </row>
    <row r="284" spans="1:11" ht="47.25">
      <c r="A284" s="26" t="s">
        <v>363</v>
      </c>
      <c r="B284" s="48" t="s">
        <v>155</v>
      </c>
      <c r="C284" s="48" t="s">
        <v>364</v>
      </c>
      <c r="D284" s="48"/>
      <c r="E284" s="24">
        <f>E285</f>
        <v>17.3</v>
      </c>
      <c r="F284" s="24">
        <f>F285</f>
        <v>0</v>
      </c>
      <c r="G284" s="24">
        <f>G285</f>
        <v>17.3</v>
      </c>
      <c r="H284" s="135"/>
      <c r="I284" s="146"/>
      <c r="J284" s="192"/>
      <c r="K284" s="192"/>
    </row>
    <row r="285" spans="1:11" ht="47.25">
      <c r="A285" s="26" t="s">
        <v>15</v>
      </c>
      <c r="B285" s="48" t="s">
        <v>155</v>
      </c>
      <c r="C285" s="48" t="s">
        <v>364</v>
      </c>
      <c r="D285" s="48" t="s">
        <v>16</v>
      </c>
      <c r="E285" s="24">
        <v>17.3</v>
      </c>
      <c r="F285" s="24">
        <v>0</v>
      </c>
      <c r="G285" s="24">
        <f>E285+F285</f>
        <v>17.3</v>
      </c>
      <c r="H285" s="135"/>
      <c r="I285" s="146"/>
      <c r="J285" s="192"/>
      <c r="K285" s="192"/>
    </row>
    <row r="286" spans="1:11" ht="31.5">
      <c r="A286" s="26" t="s">
        <v>372</v>
      </c>
      <c r="B286" s="48" t="s">
        <v>155</v>
      </c>
      <c r="C286" s="48" t="s">
        <v>365</v>
      </c>
      <c r="D286" s="48"/>
      <c r="E286" s="24">
        <f>E287+E288</f>
        <v>135.9</v>
      </c>
      <c r="F286" s="24">
        <f>F287+F288</f>
        <v>0</v>
      </c>
      <c r="G286" s="24">
        <f>G287+G288</f>
        <v>135.9</v>
      </c>
      <c r="H286" s="135"/>
      <c r="I286" s="146"/>
      <c r="J286" s="192"/>
      <c r="K286" s="192"/>
    </row>
    <row r="287" spans="1:11" ht="15.75">
      <c r="A287" s="26" t="s">
        <v>61</v>
      </c>
      <c r="B287" s="48" t="s">
        <v>155</v>
      </c>
      <c r="C287" s="48" t="s">
        <v>365</v>
      </c>
      <c r="D287" s="48" t="s">
        <v>62</v>
      </c>
      <c r="E287" s="24">
        <v>36.5</v>
      </c>
      <c r="F287" s="24"/>
      <c r="G287" s="24">
        <f>E287+F287</f>
        <v>36.5</v>
      </c>
      <c r="H287" s="135"/>
      <c r="I287" s="146"/>
      <c r="J287" s="192"/>
      <c r="K287" s="192"/>
    </row>
    <row r="288" spans="1:11" ht="47.25">
      <c r="A288" s="26" t="s">
        <v>15</v>
      </c>
      <c r="B288" s="48" t="s">
        <v>155</v>
      </c>
      <c r="C288" s="48" t="s">
        <v>365</v>
      </c>
      <c r="D288" s="48" t="s">
        <v>16</v>
      </c>
      <c r="E288" s="24">
        <v>99.4</v>
      </c>
      <c r="F288" s="24">
        <v>0</v>
      </c>
      <c r="G288" s="24">
        <f>E288+F288</f>
        <v>99.4</v>
      </c>
      <c r="H288" s="135"/>
      <c r="I288" s="146"/>
      <c r="J288" s="192"/>
      <c r="K288" s="192"/>
    </row>
    <row r="289" spans="1:11" ht="31.5">
      <c r="A289" s="26" t="s">
        <v>344</v>
      </c>
      <c r="B289" s="48" t="s">
        <v>155</v>
      </c>
      <c r="C289" s="48" t="s">
        <v>366</v>
      </c>
      <c r="D289" s="48"/>
      <c r="E289" s="24">
        <f>E290</f>
        <v>100.5</v>
      </c>
      <c r="F289" s="24">
        <f>F290</f>
        <v>0</v>
      </c>
      <c r="G289" s="24">
        <f>G290</f>
        <v>100.5</v>
      </c>
      <c r="H289" s="135"/>
      <c r="I289" s="146"/>
      <c r="J289" s="192"/>
      <c r="K289" s="192"/>
    </row>
    <row r="290" spans="1:11" ht="47.25">
      <c r="A290" s="26" t="s">
        <v>15</v>
      </c>
      <c r="B290" s="48" t="s">
        <v>155</v>
      </c>
      <c r="C290" s="48" t="s">
        <v>366</v>
      </c>
      <c r="D290" s="48" t="s">
        <v>16</v>
      </c>
      <c r="E290" s="24">
        <v>100.5</v>
      </c>
      <c r="F290" s="24"/>
      <c r="G290" s="24">
        <f>E290+F290</f>
        <v>100.5</v>
      </c>
      <c r="H290" s="135"/>
      <c r="I290" s="146"/>
      <c r="J290" s="192"/>
      <c r="K290" s="192"/>
    </row>
    <row r="291" spans="1:11" ht="31.5">
      <c r="A291" s="26" t="s">
        <v>343</v>
      </c>
      <c r="B291" s="48" t="s">
        <v>155</v>
      </c>
      <c r="C291" s="48" t="s">
        <v>414</v>
      </c>
      <c r="D291" s="48"/>
      <c r="E291" s="24">
        <f>E292</f>
        <v>50</v>
      </c>
      <c r="F291" s="24">
        <f>F292</f>
        <v>0</v>
      </c>
      <c r="G291" s="24">
        <f>G292</f>
        <v>50</v>
      </c>
      <c r="H291" s="135"/>
      <c r="I291" s="146"/>
      <c r="J291" s="192"/>
      <c r="K291" s="192"/>
    </row>
    <row r="292" spans="1:11" ht="47.25">
      <c r="A292" s="26" t="s">
        <v>15</v>
      </c>
      <c r="B292" s="48" t="s">
        <v>155</v>
      </c>
      <c r="C292" s="48" t="s">
        <v>414</v>
      </c>
      <c r="D292" s="48" t="s">
        <v>16</v>
      </c>
      <c r="E292" s="24">
        <v>50</v>
      </c>
      <c r="F292" s="24">
        <v>0</v>
      </c>
      <c r="G292" s="24">
        <f>E292+F292</f>
        <v>50</v>
      </c>
      <c r="H292" s="135"/>
      <c r="I292" s="146"/>
      <c r="J292" s="192"/>
      <c r="K292" s="192"/>
    </row>
    <row r="293" spans="1:11" ht="31.5">
      <c r="A293" s="26" t="s">
        <v>343</v>
      </c>
      <c r="B293" s="48" t="s">
        <v>155</v>
      </c>
      <c r="C293" s="48" t="s">
        <v>415</v>
      </c>
      <c r="D293" s="48"/>
      <c r="E293" s="24">
        <f>E294</f>
        <v>50</v>
      </c>
      <c r="F293" s="24">
        <f>F294</f>
        <v>0</v>
      </c>
      <c r="G293" s="24">
        <f>G294</f>
        <v>50</v>
      </c>
      <c r="H293" s="135"/>
      <c r="I293" s="146"/>
      <c r="J293" s="192"/>
      <c r="K293" s="192"/>
    </row>
    <row r="294" spans="1:11" ht="47.25">
      <c r="A294" s="26" t="s">
        <v>15</v>
      </c>
      <c r="B294" s="48" t="s">
        <v>155</v>
      </c>
      <c r="C294" s="48" t="s">
        <v>415</v>
      </c>
      <c r="D294" s="48" t="s">
        <v>16</v>
      </c>
      <c r="E294" s="24">
        <v>50</v>
      </c>
      <c r="F294" s="24">
        <v>0</v>
      </c>
      <c r="G294" s="24">
        <f>E294+F294</f>
        <v>50</v>
      </c>
      <c r="H294" s="135"/>
      <c r="I294" s="146"/>
      <c r="J294" s="192"/>
      <c r="K294" s="192"/>
    </row>
    <row r="295" spans="1:11" ht="31.5">
      <c r="A295" s="46" t="s">
        <v>343</v>
      </c>
      <c r="B295" s="48" t="s">
        <v>155</v>
      </c>
      <c r="C295" s="48" t="s">
        <v>341</v>
      </c>
      <c r="D295" s="48"/>
      <c r="E295" s="24">
        <f>E296</f>
        <v>99.4</v>
      </c>
      <c r="F295" s="24">
        <f>F296</f>
        <v>0</v>
      </c>
      <c r="G295" s="24">
        <f>G296</f>
        <v>99.4</v>
      </c>
      <c r="I295" s="146"/>
      <c r="J295" s="192"/>
      <c r="K295" s="192"/>
    </row>
    <row r="296" spans="1:11" ht="47.25">
      <c r="A296" s="88" t="s">
        <v>15</v>
      </c>
      <c r="B296" s="48" t="s">
        <v>155</v>
      </c>
      <c r="C296" s="48" t="s">
        <v>341</v>
      </c>
      <c r="D296" s="48" t="s">
        <v>16</v>
      </c>
      <c r="E296" s="24">
        <v>99.4</v>
      </c>
      <c r="F296" s="24">
        <v>0</v>
      </c>
      <c r="G296" s="24">
        <f>E296+F296</f>
        <v>99.4</v>
      </c>
      <c r="I296" s="146"/>
      <c r="J296" s="192"/>
      <c r="K296" s="192"/>
    </row>
    <row r="297" spans="1:11" ht="31.5">
      <c r="A297" s="46" t="s">
        <v>344</v>
      </c>
      <c r="B297" s="48" t="s">
        <v>155</v>
      </c>
      <c r="C297" s="48" t="s">
        <v>342</v>
      </c>
      <c r="D297" s="48"/>
      <c r="E297" s="24">
        <f>E298</f>
        <v>100.5</v>
      </c>
      <c r="F297" s="24">
        <f>F298</f>
        <v>0</v>
      </c>
      <c r="G297" s="24">
        <f>G298</f>
        <v>100.5</v>
      </c>
      <c r="I297" s="146"/>
      <c r="J297" s="192"/>
      <c r="K297" s="192"/>
    </row>
    <row r="298" spans="1:11" ht="47.25">
      <c r="A298" s="88" t="s">
        <v>15</v>
      </c>
      <c r="B298" s="48" t="s">
        <v>155</v>
      </c>
      <c r="C298" s="48" t="s">
        <v>342</v>
      </c>
      <c r="D298" s="48" t="s">
        <v>16</v>
      </c>
      <c r="E298" s="24">
        <v>100.5</v>
      </c>
      <c r="F298" s="24"/>
      <c r="G298" s="24">
        <f>E298+F298</f>
        <v>100.5</v>
      </c>
      <c r="I298" s="146"/>
      <c r="J298" s="192"/>
      <c r="K298" s="192"/>
    </row>
    <row r="299" spans="1:11" ht="31.5">
      <c r="A299" s="46" t="s">
        <v>75</v>
      </c>
      <c r="B299" s="48" t="s">
        <v>155</v>
      </c>
      <c r="C299" s="48" t="s">
        <v>243</v>
      </c>
      <c r="D299" s="48"/>
      <c r="E299" s="49">
        <f>E300</f>
        <v>44670.1</v>
      </c>
      <c r="F299" s="49">
        <f>F300</f>
        <v>0</v>
      </c>
      <c r="G299" s="49">
        <f>G300</f>
        <v>44670.1</v>
      </c>
      <c r="H299" s="135"/>
      <c r="J299" s="192"/>
      <c r="K299" s="192"/>
    </row>
    <row r="300" spans="1:11" ht="47.25">
      <c r="A300" s="88" t="s">
        <v>15</v>
      </c>
      <c r="B300" s="48" t="s">
        <v>155</v>
      </c>
      <c r="C300" s="48" t="s">
        <v>243</v>
      </c>
      <c r="D300" s="48" t="s">
        <v>16</v>
      </c>
      <c r="E300" s="49">
        <v>44670.1</v>
      </c>
      <c r="F300" s="49">
        <v>0</v>
      </c>
      <c r="G300" s="49">
        <f>E300+F300</f>
        <v>44670.1</v>
      </c>
      <c r="H300" s="148"/>
      <c r="J300" s="192"/>
      <c r="K300" s="192"/>
    </row>
    <row r="301" spans="1:11" ht="47.25">
      <c r="A301" s="46" t="s">
        <v>74</v>
      </c>
      <c r="B301" s="48" t="s">
        <v>155</v>
      </c>
      <c r="C301" s="48" t="s">
        <v>244</v>
      </c>
      <c r="D301" s="48"/>
      <c r="E301" s="49">
        <f>E302</f>
        <v>21972</v>
      </c>
      <c r="F301" s="49">
        <f>F302</f>
        <v>0</v>
      </c>
      <c r="G301" s="49">
        <f>G302</f>
        <v>21972</v>
      </c>
      <c r="I301" s="149"/>
      <c r="J301" s="192"/>
      <c r="K301" s="192"/>
    </row>
    <row r="302" spans="1:11" ht="47.25">
      <c r="A302" s="164" t="s">
        <v>15</v>
      </c>
      <c r="B302" s="48" t="s">
        <v>155</v>
      </c>
      <c r="C302" s="48" t="s">
        <v>244</v>
      </c>
      <c r="D302" s="48" t="s">
        <v>16</v>
      </c>
      <c r="E302" s="49">
        <v>21972</v>
      </c>
      <c r="F302" s="49">
        <v>0</v>
      </c>
      <c r="G302" s="49">
        <f>E302+F302</f>
        <v>21972</v>
      </c>
      <c r="J302" s="192"/>
      <c r="K302" s="192"/>
    </row>
    <row r="303" spans="1:11" ht="15.75">
      <c r="A303" s="46" t="s">
        <v>325</v>
      </c>
      <c r="B303" s="48" t="s">
        <v>155</v>
      </c>
      <c r="C303" s="48" t="s">
        <v>326</v>
      </c>
      <c r="D303" s="48"/>
      <c r="E303" s="49">
        <f>E305+E304</f>
        <v>20</v>
      </c>
      <c r="F303" s="49">
        <f>F305+F304</f>
        <v>0</v>
      </c>
      <c r="G303" s="49">
        <f>G305+G304</f>
        <v>20</v>
      </c>
      <c r="I303" s="150"/>
      <c r="J303" s="192"/>
      <c r="K303" s="192"/>
    </row>
    <row r="304" spans="1:11" ht="31.5">
      <c r="A304" s="65" t="s">
        <v>18</v>
      </c>
      <c r="B304" s="48" t="s">
        <v>155</v>
      </c>
      <c r="C304" s="48" t="s">
        <v>326</v>
      </c>
      <c r="D304" s="48" t="s">
        <v>13</v>
      </c>
      <c r="E304" s="49">
        <v>5</v>
      </c>
      <c r="F304" s="49">
        <v>0</v>
      </c>
      <c r="G304" s="49">
        <f>E304+F304</f>
        <v>5</v>
      </c>
      <c r="I304" s="150"/>
      <c r="J304" s="192"/>
      <c r="K304" s="192"/>
    </row>
    <row r="305" spans="1:11" ht="31.5">
      <c r="A305" s="87" t="s">
        <v>38</v>
      </c>
      <c r="B305" s="48" t="s">
        <v>155</v>
      </c>
      <c r="C305" s="48" t="s">
        <v>326</v>
      </c>
      <c r="D305" s="48" t="s">
        <v>22</v>
      </c>
      <c r="E305" s="49">
        <v>15</v>
      </c>
      <c r="F305" s="49">
        <v>0</v>
      </c>
      <c r="G305" s="49">
        <f>E305+F305</f>
        <v>15</v>
      </c>
      <c r="J305" s="192"/>
      <c r="K305" s="192"/>
    </row>
    <row r="306" spans="1:11" ht="31.5">
      <c r="A306" s="26" t="s">
        <v>438</v>
      </c>
      <c r="B306" s="48" t="s">
        <v>155</v>
      </c>
      <c r="C306" s="48" t="s">
        <v>437</v>
      </c>
      <c r="D306" s="48"/>
      <c r="E306" s="49">
        <f>E307</f>
        <v>10</v>
      </c>
      <c r="F306" s="49">
        <f>F307</f>
        <v>0</v>
      </c>
      <c r="G306" s="49">
        <f>G307</f>
        <v>10</v>
      </c>
      <c r="J306" s="192"/>
      <c r="K306" s="192"/>
    </row>
    <row r="307" spans="1:11" ht="47.25">
      <c r="A307" s="164" t="s">
        <v>15</v>
      </c>
      <c r="B307" s="48" t="s">
        <v>155</v>
      </c>
      <c r="C307" s="48" t="s">
        <v>437</v>
      </c>
      <c r="D307" s="48" t="s">
        <v>16</v>
      </c>
      <c r="E307" s="49">
        <v>10</v>
      </c>
      <c r="F307" s="49">
        <v>0</v>
      </c>
      <c r="G307" s="49">
        <f>E307+F307</f>
        <v>10</v>
      </c>
      <c r="J307" s="192"/>
      <c r="K307" s="192"/>
    </row>
    <row r="308" spans="1:11" ht="15.75">
      <c r="A308" s="46" t="s">
        <v>30</v>
      </c>
      <c r="B308" s="48" t="s">
        <v>155</v>
      </c>
      <c r="C308" s="48" t="s">
        <v>245</v>
      </c>
      <c r="D308" s="48"/>
      <c r="E308" s="49">
        <f>E310+E309+E311</f>
        <v>6805.7</v>
      </c>
      <c r="F308" s="49">
        <f>F310+F309+F311</f>
        <v>-330.9</v>
      </c>
      <c r="G308" s="49">
        <f>G310+G309+G311</f>
        <v>6474.8</v>
      </c>
      <c r="H308" s="151"/>
      <c r="J308" s="192"/>
      <c r="K308" s="192"/>
    </row>
    <row r="309" spans="1:11" ht="78.75">
      <c r="A309" s="26" t="s">
        <v>20</v>
      </c>
      <c r="B309" s="48" t="s">
        <v>155</v>
      </c>
      <c r="C309" s="48" t="s">
        <v>245</v>
      </c>
      <c r="D309" s="48" t="s">
        <v>21</v>
      </c>
      <c r="E309" s="49">
        <v>5557.5</v>
      </c>
      <c r="F309" s="49">
        <v>-373.9</v>
      </c>
      <c r="G309" s="49">
        <f>E309+F309</f>
        <v>5183.6</v>
      </c>
      <c r="H309" s="151"/>
      <c r="J309" s="192"/>
      <c r="K309" s="192"/>
    </row>
    <row r="310" spans="1:11" ht="31.5">
      <c r="A310" s="65" t="s">
        <v>18</v>
      </c>
      <c r="B310" s="48" t="s">
        <v>155</v>
      </c>
      <c r="C310" s="48" t="s">
        <v>245</v>
      </c>
      <c r="D310" s="48" t="s">
        <v>13</v>
      </c>
      <c r="E310" s="49">
        <v>1220.7</v>
      </c>
      <c r="F310" s="49">
        <v>43</v>
      </c>
      <c r="G310" s="49">
        <f>E310+F310</f>
        <v>1263.7</v>
      </c>
      <c r="J310" s="192"/>
      <c r="K310" s="192"/>
    </row>
    <row r="311" spans="1:11" ht="15.75">
      <c r="A311" s="65" t="s">
        <v>14</v>
      </c>
      <c r="B311" s="48" t="s">
        <v>155</v>
      </c>
      <c r="C311" s="48" t="s">
        <v>245</v>
      </c>
      <c r="D311" s="48" t="s">
        <v>17</v>
      </c>
      <c r="E311" s="49">
        <v>27.5</v>
      </c>
      <c r="F311" s="49">
        <v>0</v>
      </c>
      <c r="G311" s="49">
        <f>E311+F311</f>
        <v>27.5</v>
      </c>
      <c r="J311" s="192"/>
      <c r="K311" s="192"/>
    </row>
    <row r="312" spans="1:11" ht="31.5">
      <c r="A312" s="46" t="s">
        <v>72</v>
      </c>
      <c r="B312" s="48" t="s">
        <v>155</v>
      </c>
      <c r="C312" s="48" t="s">
        <v>246</v>
      </c>
      <c r="D312" s="48"/>
      <c r="E312" s="49">
        <f>E313+E314+E316+E315</f>
        <v>25125.2</v>
      </c>
      <c r="F312" s="49">
        <f>F313+F314+F316+F315</f>
        <v>330.90000000000003</v>
      </c>
      <c r="G312" s="49">
        <f>G313+G314+G316+G315</f>
        <v>25456.1</v>
      </c>
      <c r="H312" s="148"/>
      <c r="J312" s="192"/>
      <c r="K312" s="192"/>
    </row>
    <row r="313" spans="1:11" ht="78.75">
      <c r="A313" s="26" t="s">
        <v>20</v>
      </c>
      <c r="B313" s="48" t="s">
        <v>155</v>
      </c>
      <c r="C313" s="48" t="s">
        <v>246</v>
      </c>
      <c r="D313" s="48" t="s">
        <v>21</v>
      </c>
      <c r="E313" s="49">
        <v>23430.9</v>
      </c>
      <c r="F313" s="49">
        <v>324.1</v>
      </c>
      <c r="G313" s="49">
        <f>E313+F313</f>
        <v>23755</v>
      </c>
      <c r="H313" s="148"/>
      <c r="J313" s="192"/>
      <c r="K313" s="192"/>
    </row>
    <row r="314" spans="1:11" ht="31.5">
      <c r="A314" s="65" t="s">
        <v>18</v>
      </c>
      <c r="B314" s="48" t="s">
        <v>155</v>
      </c>
      <c r="C314" s="48" t="s">
        <v>246</v>
      </c>
      <c r="D314" s="48" t="s">
        <v>13</v>
      </c>
      <c r="E314" s="49">
        <v>1287.6</v>
      </c>
      <c r="F314" s="49">
        <v>17.6</v>
      </c>
      <c r="G314" s="49">
        <f>E314+F314</f>
        <v>1305.1999999999998</v>
      </c>
      <c r="H314" s="148"/>
      <c r="J314" s="192"/>
      <c r="K314" s="192"/>
    </row>
    <row r="315" spans="1:11" ht="31.5">
      <c r="A315" s="26" t="s">
        <v>38</v>
      </c>
      <c r="B315" s="48" t="s">
        <v>155</v>
      </c>
      <c r="C315" s="48" t="s">
        <v>246</v>
      </c>
      <c r="D315" s="48" t="s">
        <v>22</v>
      </c>
      <c r="E315" s="49">
        <v>154.3</v>
      </c>
      <c r="F315" s="49">
        <v>0</v>
      </c>
      <c r="G315" s="49">
        <f>E315+F315</f>
        <v>154.3</v>
      </c>
      <c r="H315" s="148"/>
      <c r="J315" s="192"/>
      <c r="K315" s="192"/>
    </row>
    <row r="316" spans="1:11" ht="15.75">
      <c r="A316" s="65" t="s">
        <v>14</v>
      </c>
      <c r="B316" s="48" t="s">
        <v>155</v>
      </c>
      <c r="C316" s="48" t="s">
        <v>246</v>
      </c>
      <c r="D316" s="48" t="s">
        <v>17</v>
      </c>
      <c r="E316" s="49">
        <v>252.39999999999998</v>
      </c>
      <c r="F316" s="49">
        <f>-6.9-1.3-2.6</f>
        <v>-10.8</v>
      </c>
      <c r="G316" s="49">
        <f>E316+F316</f>
        <v>241.59999999999997</v>
      </c>
      <c r="H316" s="148"/>
      <c r="J316" s="192"/>
      <c r="K316" s="192"/>
    </row>
    <row r="317" spans="1:11" ht="15.75">
      <c r="A317" s="103" t="s">
        <v>43</v>
      </c>
      <c r="B317" s="105" t="s">
        <v>156</v>
      </c>
      <c r="C317" s="105" t="s">
        <v>188</v>
      </c>
      <c r="D317" s="105"/>
      <c r="E317" s="106">
        <f>E318</f>
        <v>1072.3</v>
      </c>
      <c r="F317" s="106">
        <f>F318</f>
        <v>0</v>
      </c>
      <c r="G317" s="106">
        <f>G318</f>
        <v>1072.3</v>
      </c>
      <c r="J317" s="192"/>
      <c r="K317" s="192"/>
    </row>
    <row r="318" spans="1:11" ht="31.5">
      <c r="A318" s="52" t="s">
        <v>70</v>
      </c>
      <c r="B318" s="48" t="s">
        <v>155</v>
      </c>
      <c r="C318" s="48" t="s">
        <v>202</v>
      </c>
      <c r="D318" s="48"/>
      <c r="E318" s="49">
        <f>E319+E321</f>
        <v>1072.3</v>
      </c>
      <c r="F318" s="49">
        <f>F319+F321</f>
        <v>0</v>
      </c>
      <c r="G318" s="49">
        <f>G319+G321</f>
        <v>1072.3</v>
      </c>
      <c r="J318" s="192"/>
      <c r="K318" s="192"/>
    </row>
    <row r="319" spans="1:11" ht="141.75">
      <c r="A319" s="55" t="s">
        <v>157</v>
      </c>
      <c r="B319" s="48" t="s">
        <v>155</v>
      </c>
      <c r="C319" s="48" t="s">
        <v>203</v>
      </c>
      <c r="D319" s="48"/>
      <c r="E319" s="49">
        <f>E320</f>
        <v>66.9</v>
      </c>
      <c r="F319" s="49">
        <f>F320</f>
        <v>-14.8</v>
      </c>
      <c r="G319" s="49">
        <f>G320</f>
        <v>52.10000000000001</v>
      </c>
      <c r="J319" s="192"/>
      <c r="K319" s="192"/>
    </row>
    <row r="320" spans="1:11" ht="47.25">
      <c r="A320" s="176" t="s">
        <v>15</v>
      </c>
      <c r="B320" s="177" t="s">
        <v>155</v>
      </c>
      <c r="C320" s="177" t="s">
        <v>203</v>
      </c>
      <c r="D320" s="177" t="s">
        <v>16</v>
      </c>
      <c r="E320" s="178">
        <v>66.9</v>
      </c>
      <c r="F320" s="49">
        <f>-14.8</f>
        <v>-14.8</v>
      </c>
      <c r="G320" s="49">
        <f>E320+F320</f>
        <v>52.10000000000001</v>
      </c>
      <c r="J320" s="192"/>
      <c r="K320" s="192"/>
    </row>
    <row r="321" spans="1:11" ht="78.75">
      <c r="A321" s="53" t="s">
        <v>395</v>
      </c>
      <c r="B321" s="48" t="s">
        <v>155</v>
      </c>
      <c r="C321" s="48" t="s">
        <v>396</v>
      </c>
      <c r="D321" s="48"/>
      <c r="E321" s="49">
        <f>E322</f>
        <v>1005.4</v>
      </c>
      <c r="F321" s="49">
        <f>F322</f>
        <v>14.8</v>
      </c>
      <c r="G321" s="49">
        <f>G322</f>
        <v>1020.1999999999999</v>
      </c>
      <c r="J321" s="192"/>
      <c r="K321" s="192"/>
    </row>
    <row r="322" spans="1:11" ht="47.25">
      <c r="A322" s="53" t="s">
        <v>15</v>
      </c>
      <c r="B322" s="48" t="s">
        <v>155</v>
      </c>
      <c r="C322" s="177" t="s">
        <v>396</v>
      </c>
      <c r="D322" s="48" t="s">
        <v>16</v>
      </c>
      <c r="E322" s="49">
        <v>1005.4</v>
      </c>
      <c r="F322" s="49">
        <v>14.8</v>
      </c>
      <c r="G322" s="49">
        <f>E322+F322</f>
        <v>1020.1999999999999</v>
      </c>
      <c r="J322" s="192"/>
      <c r="K322" s="192"/>
    </row>
    <row r="323" spans="1:11" ht="47.25">
      <c r="A323" s="37" t="s">
        <v>158</v>
      </c>
      <c r="B323" s="38" t="s">
        <v>159</v>
      </c>
      <c r="C323" s="109"/>
      <c r="D323" s="123"/>
      <c r="E323" s="36">
        <f>E324+E336</f>
        <v>519198.39999999997</v>
      </c>
      <c r="F323" s="36">
        <f>F324+F336</f>
        <v>0</v>
      </c>
      <c r="G323" s="36">
        <f>G324+G336</f>
        <v>519198.39999999997</v>
      </c>
      <c r="J323" s="192"/>
      <c r="K323" s="192"/>
    </row>
    <row r="324" spans="1:11" ht="47.25">
      <c r="A324" s="110" t="s">
        <v>98</v>
      </c>
      <c r="B324" s="105" t="s">
        <v>159</v>
      </c>
      <c r="C324" s="104" t="s">
        <v>306</v>
      </c>
      <c r="D324" s="104" t="s">
        <v>0</v>
      </c>
      <c r="E324" s="111">
        <f>E325+E328</f>
        <v>496754.39999999997</v>
      </c>
      <c r="F324" s="111">
        <f>F325+F328</f>
        <v>0</v>
      </c>
      <c r="G324" s="111">
        <f>G325+G328</f>
        <v>496754.39999999997</v>
      </c>
      <c r="J324" s="192"/>
      <c r="K324" s="192"/>
    </row>
    <row r="325" spans="1:11" ht="47.25">
      <c r="A325" s="12" t="s">
        <v>114</v>
      </c>
      <c r="B325" s="112" t="s">
        <v>159</v>
      </c>
      <c r="C325" s="13" t="s">
        <v>307</v>
      </c>
      <c r="D325" s="13" t="s">
        <v>0</v>
      </c>
      <c r="E325" s="14">
        <f aca="true" t="shared" si="2" ref="E325:G326">E326</f>
        <v>500</v>
      </c>
      <c r="F325" s="14">
        <f t="shared" si="2"/>
        <v>0</v>
      </c>
      <c r="G325" s="14">
        <f t="shared" si="2"/>
        <v>500</v>
      </c>
      <c r="J325" s="192"/>
      <c r="K325" s="192"/>
    </row>
    <row r="326" spans="1:11" ht="31.5">
      <c r="A326" s="27" t="s">
        <v>103</v>
      </c>
      <c r="B326" s="48" t="s">
        <v>159</v>
      </c>
      <c r="C326" s="25" t="s">
        <v>320</v>
      </c>
      <c r="D326" s="25"/>
      <c r="E326" s="24">
        <f t="shared" si="2"/>
        <v>500</v>
      </c>
      <c r="F326" s="24">
        <f t="shared" si="2"/>
        <v>0</v>
      </c>
      <c r="G326" s="24">
        <f t="shared" si="2"/>
        <v>500</v>
      </c>
      <c r="J326" s="192"/>
      <c r="K326" s="192"/>
    </row>
    <row r="327" spans="1:11" ht="31.5">
      <c r="A327" s="62" t="s">
        <v>18</v>
      </c>
      <c r="B327" s="48" t="s">
        <v>159</v>
      </c>
      <c r="C327" s="25" t="s">
        <v>320</v>
      </c>
      <c r="D327" s="25" t="s">
        <v>13</v>
      </c>
      <c r="E327" s="24">
        <v>500</v>
      </c>
      <c r="F327" s="24"/>
      <c r="G327" s="24">
        <f>E327+F327</f>
        <v>500</v>
      </c>
      <c r="J327" s="192"/>
      <c r="K327" s="192"/>
    </row>
    <row r="328" spans="1:11" ht="63">
      <c r="A328" s="12" t="s">
        <v>149</v>
      </c>
      <c r="B328" s="112" t="s">
        <v>159</v>
      </c>
      <c r="C328" s="13" t="s">
        <v>311</v>
      </c>
      <c r="D328" s="13" t="s">
        <v>0</v>
      </c>
      <c r="E328" s="132">
        <f>E329+E331+E333</f>
        <v>496254.39999999997</v>
      </c>
      <c r="F328" s="132">
        <f>F329+F331+F333</f>
        <v>0</v>
      </c>
      <c r="G328" s="132">
        <f>G329+G331+G333</f>
        <v>496254.39999999997</v>
      </c>
      <c r="J328" s="192"/>
      <c r="K328" s="192"/>
    </row>
    <row r="329" spans="1:11" ht="78.75">
      <c r="A329" s="157" t="s">
        <v>350</v>
      </c>
      <c r="B329" s="48" t="s">
        <v>159</v>
      </c>
      <c r="C329" s="48" t="s">
        <v>351</v>
      </c>
      <c r="D329" s="48"/>
      <c r="E329" s="24">
        <f>E330</f>
        <v>320613.1</v>
      </c>
      <c r="F329" s="24">
        <f>F330</f>
        <v>0</v>
      </c>
      <c r="G329" s="24">
        <f>G330</f>
        <v>320613.1</v>
      </c>
      <c r="J329" s="192"/>
      <c r="K329" s="192"/>
    </row>
    <row r="330" spans="1:11" ht="15.75">
      <c r="A330" s="26" t="s">
        <v>14</v>
      </c>
      <c r="B330" s="48" t="s">
        <v>159</v>
      </c>
      <c r="C330" s="48" t="s">
        <v>351</v>
      </c>
      <c r="D330" s="48" t="s">
        <v>17</v>
      </c>
      <c r="E330" s="24">
        <v>320613.1</v>
      </c>
      <c r="F330" s="24">
        <v>0</v>
      </c>
      <c r="G330" s="24">
        <f>E330+F330</f>
        <v>320613.1</v>
      </c>
      <c r="J330" s="192"/>
      <c r="K330" s="192"/>
    </row>
    <row r="331" spans="1:11" ht="78.75">
      <c r="A331" s="157" t="s">
        <v>352</v>
      </c>
      <c r="B331" s="48" t="s">
        <v>159</v>
      </c>
      <c r="C331" s="48" t="s">
        <v>328</v>
      </c>
      <c r="D331" s="48"/>
      <c r="E331" s="24">
        <f>E332</f>
        <v>136430.8</v>
      </c>
      <c r="F331" s="24">
        <f>F332</f>
        <v>0</v>
      </c>
      <c r="G331" s="24">
        <f>G332</f>
        <v>136430.8</v>
      </c>
      <c r="J331" s="192"/>
      <c r="K331" s="192"/>
    </row>
    <row r="332" spans="1:11" ht="15.75">
      <c r="A332" s="26" t="s">
        <v>14</v>
      </c>
      <c r="B332" s="48" t="s">
        <v>159</v>
      </c>
      <c r="C332" s="48" t="s">
        <v>328</v>
      </c>
      <c r="D332" s="48" t="s">
        <v>17</v>
      </c>
      <c r="E332" s="24">
        <v>136430.8</v>
      </c>
      <c r="F332" s="24">
        <v>0</v>
      </c>
      <c r="G332" s="24">
        <f>E332+F332</f>
        <v>136430.8</v>
      </c>
      <c r="J332" s="192"/>
      <c r="K332" s="192"/>
    </row>
    <row r="333" spans="1:11" ht="78.75">
      <c r="A333" s="26" t="s">
        <v>327</v>
      </c>
      <c r="B333" s="48" t="s">
        <v>159</v>
      </c>
      <c r="C333" s="48" t="s">
        <v>345</v>
      </c>
      <c r="D333" s="48"/>
      <c r="E333" s="24">
        <f>E334+E335</f>
        <v>39210.5</v>
      </c>
      <c r="F333" s="24">
        <f>F334+F335</f>
        <v>0</v>
      </c>
      <c r="G333" s="24">
        <f>G334+G335</f>
        <v>39210.5</v>
      </c>
      <c r="J333" s="192"/>
      <c r="K333" s="192"/>
    </row>
    <row r="334" spans="1:11" ht="31.5">
      <c r="A334" s="26" t="s">
        <v>18</v>
      </c>
      <c r="B334" s="48" t="s">
        <v>159</v>
      </c>
      <c r="C334" s="48" t="s">
        <v>345</v>
      </c>
      <c r="D334" s="48" t="s">
        <v>13</v>
      </c>
      <c r="E334" s="24">
        <v>433</v>
      </c>
      <c r="F334" s="24">
        <v>0</v>
      </c>
      <c r="G334" s="24">
        <f>E334+F334</f>
        <v>433</v>
      </c>
      <c r="J334" s="192"/>
      <c r="K334" s="192"/>
    </row>
    <row r="335" spans="1:11" ht="15.75">
      <c r="A335" s="26" t="s">
        <v>14</v>
      </c>
      <c r="B335" s="48" t="s">
        <v>159</v>
      </c>
      <c r="C335" s="48" t="s">
        <v>345</v>
      </c>
      <c r="D335" s="48" t="s">
        <v>17</v>
      </c>
      <c r="E335" s="24">
        <v>38777.5</v>
      </c>
      <c r="F335" s="24">
        <v>0</v>
      </c>
      <c r="G335" s="24">
        <f>E335+F335</f>
        <v>38777.5</v>
      </c>
      <c r="J335" s="192"/>
      <c r="K335" s="192"/>
    </row>
    <row r="336" spans="1:11" ht="47.25">
      <c r="A336" s="110" t="s">
        <v>123</v>
      </c>
      <c r="B336" s="105" t="s">
        <v>159</v>
      </c>
      <c r="C336" s="104" t="s">
        <v>271</v>
      </c>
      <c r="D336" s="104" t="s">
        <v>0</v>
      </c>
      <c r="E336" s="111">
        <f>E337</f>
        <v>22444</v>
      </c>
      <c r="F336" s="111">
        <f>F337</f>
        <v>0</v>
      </c>
      <c r="G336" s="111">
        <f>G337</f>
        <v>22444.000000000004</v>
      </c>
      <c r="J336" s="192"/>
      <c r="K336" s="192"/>
    </row>
    <row r="337" spans="1:11" ht="31.5">
      <c r="A337" s="12" t="s">
        <v>125</v>
      </c>
      <c r="B337" s="112" t="s">
        <v>159</v>
      </c>
      <c r="C337" s="13" t="s">
        <v>274</v>
      </c>
      <c r="D337" s="13" t="s">
        <v>0</v>
      </c>
      <c r="E337" s="14">
        <f>E338+E340+E342+E346</f>
        <v>22444</v>
      </c>
      <c r="F337" s="14">
        <f>F338+F340+F342+F346</f>
        <v>0</v>
      </c>
      <c r="G337" s="14">
        <f>G338+G340+G342+G346</f>
        <v>22444.000000000004</v>
      </c>
      <c r="J337" s="192"/>
      <c r="K337" s="192"/>
    </row>
    <row r="338" spans="1:11" ht="63">
      <c r="A338" s="64" t="s">
        <v>87</v>
      </c>
      <c r="B338" s="48" t="s">
        <v>159</v>
      </c>
      <c r="C338" s="48" t="s">
        <v>275</v>
      </c>
      <c r="D338" s="25"/>
      <c r="E338" s="24">
        <f>E339</f>
        <v>3400</v>
      </c>
      <c r="F338" s="24">
        <f>F339</f>
        <v>0</v>
      </c>
      <c r="G338" s="24">
        <f>G339</f>
        <v>3400</v>
      </c>
      <c r="J338" s="192"/>
      <c r="K338" s="192"/>
    </row>
    <row r="339" spans="1:11" ht="31.5">
      <c r="A339" s="51" t="s">
        <v>18</v>
      </c>
      <c r="B339" s="48" t="s">
        <v>159</v>
      </c>
      <c r="C339" s="48" t="s">
        <v>275</v>
      </c>
      <c r="D339" s="48" t="s">
        <v>13</v>
      </c>
      <c r="E339" s="24">
        <v>3400</v>
      </c>
      <c r="F339" s="24"/>
      <c r="G339" s="24">
        <f>E339+F339</f>
        <v>3400</v>
      </c>
      <c r="J339" s="192"/>
      <c r="K339" s="192"/>
    </row>
    <row r="340" spans="1:11" ht="31.5">
      <c r="A340" s="64" t="s">
        <v>23</v>
      </c>
      <c r="B340" s="48" t="s">
        <v>159</v>
      </c>
      <c r="C340" s="48" t="s">
        <v>276</v>
      </c>
      <c r="D340" s="25"/>
      <c r="E340" s="24">
        <f>E341</f>
        <v>300</v>
      </c>
      <c r="F340" s="24">
        <f>F341</f>
        <v>0</v>
      </c>
      <c r="G340" s="24">
        <f>G341</f>
        <v>300</v>
      </c>
      <c r="J340" s="192"/>
      <c r="K340" s="192"/>
    </row>
    <row r="341" spans="1:11" ht="31.5">
      <c r="A341" s="51" t="s">
        <v>18</v>
      </c>
      <c r="B341" s="48" t="s">
        <v>159</v>
      </c>
      <c r="C341" s="48" t="s">
        <v>276</v>
      </c>
      <c r="D341" s="48" t="s">
        <v>13</v>
      </c>
      <c r="E341" s="24">
        <v>300</v>
      </c>
      <c r="F341" s="24"/>
      <c r="G341" s="24">
        <f>E341+F341</f>
        <v>300</v>
      </c>
      <c r="J341" s="192"/>
      <c r="K341" s="192"/>
    </row>
    <row r="342" spans="1:11" ht="31.5">
      <c r="A342" s="64" t="s">
        <v>19</v>
      </c>
      <c r="B342" s="48" t="s">
        <v>159</v>
      </c>
      <c r="C342" s="48" t="s">
        <v>277</v>
      </c>
      <c r="D342" s="25"/>
      <c r="E342" s="24">
        <f>SUM(E343:E345)</f>
        <v>14359.1</v>
      </c>
      <c r="F342" s="24">
        <f>SUM(F343:F345)</f>
        <v>765.7</v>
      </c>
      <c r="G342" s="24">
        <f>SUM(G343:G345)</f>
        <v>15124.800000000001</v>
      </c>
      <c r="J342" s="192"/>
      <c r="K342" s="192"/>
    </row>
    <row r="343" spans="1:11" ht="78.75">
      <c r="A343" s="63" t="s">
        <v>20</v>
      </c>
      <c r="B343" s="48" t="s">
        <v>159</v>
      </c>
      <c r="C343" s="48" t="s">
        <v>277</v>
      </c>
      <c r="D343" s="48" t="s">
        <v>21</v>
      </c>
      <c r="E343" s="24">
        <v>12354.6</v>
      </c>
      <c r="F343" s="24">
        <f>470.9+163.9+46.7+14.2</f>
        <v>695.7</v>
      </c>
      <c r="G343" s="24">
        <f>E343+F343</f>
        <v>13050.300000000001</v>
      </c>
      <c r="J343" s="192"/>
      <c r="K343" s="192"/>
    </row>
    <row r="344" spans="1:11" ht="31.5">
      <c r="A344" s="51" t="s">
        <v>18</v>
      </c>
      <c r="B344" s="48" t="s">
        <v>159</v>
      </c>
      <c r="C344" s="48" t="s">
        <v>277</v>
      </c>
      <c r="D344" s="48" t="s">
        <v>13</v>
      </c>
      <c r="E344" s="24">
        <v>1989.5</v>
      </c>
      <c r="F344" s="24">
        <f>50+20</f>
        <v>70</v>
      </c>
      <c r="G344" s="24">
        <f>E344+F344</f>
        <v>2059.5</v>
      </c>
      <c r="J344" s="192"/>
      <c r="K344" s="192"/>
    </row>
    <row r="345" spans="1:11" ht="15.75">
      <c r="A345" s="26" t="s">
        <v>14</v>
      </c>
      <c r="B345" s="48" t="s">
        <v>159</v>
      </c>
      <c r="C345" s="48" t="s">
        <v>277</v>
      </c>
      <c r="D345" s="48" t="s">
        <v>17</v>
      </c>
      <c r="E345" s="24">
        <v>15</v>
      </c>
      <c r="F345" s="24"/>
      <c r="G345" s="24">
        <f>E345+F345</f>
        <v>15</v>
      </c>
      <c r="J345" s="192"/>
      <c r="K345" s="192"/>
    </row>
    <row r="346" spans="1:11" ht="31.5">
      <c r="A346" s="64" t="s">
        <v>24</v>
      </c>
      <c r="B346" s="48" t="s">
        <v>159</v>
      </c>
      <c r="C346" s="48" t="s">
        <v>278</v>
      </c>
      <c r="D346" s="25"/>
      <c r="E346" s="24">
        <f>E348+E349+E347</f>
        <v>4384.900000000001</v>
      </c>
      <c r="F346" s="24">
        <f>F348+F349+F347</f>
        <v>-765.7</v>
      </c>
      <c r="G346" s="24">
        <f>G348+G349+G347</f>
        <v>3619.2</v>
      </c>
      <c r="J346" s="192"/>
      <c r="K346" s="192"/>
    </row>
    <row r="347" spans="1:11" ht="78.75">
      <c r="A347" s="63" t="s">
        <v>20</v>
      </c>
      <c r="B347" s="48" t="s">
        <v>159</v>
      </c>
      <c r="C347" s="48" t="s">
        <v>278</v>
      </c>
      <c r="D347" s="25" t="s">
        <v>21</v>
      </c>
      <c r="E347" s="24">
        <v>363.1</v>
      </c>
      <c r="F347" s="24">
        <v>0</v>
      </c>
      <c r="G347" s="24">
        <f>E347+F347</f>
        <v>363.1</v>
      </c>
      <c r="J347" s="192"/>
      <c r="K347" s="192"/>
    </row>
    <row r="348" spans="1:11" ht="31.5">
      <c r="A348" s="51" t="s">
        <v>18</v>
      </c>
      <c r="B348" s="48" t="s">
        <v>159</v>
      </c>
      <c r="C348" s="48" t="s">
        <v>278</v>
      </c>
      <c r="D348" s="48" t="s">
        <v>13</v>
      </c>
      <c r="E348" s="24">
        <v>2442.5</v>
      </c>
      <c r="F348" s="24">
        <v>0</v>
      </c>
      <c r="G348" s="24">
        <f>E348+F348</f>
        <v>2442.5</v>
      </c>
      <c r="J348" s="192"/>
      <c r="K348" s="192"/>
    </row>
    <row r="349" spans="1:11" ht="15.75">
      <c r="A349" s="86" t="s">
        <v>14</v>
      </c>
      <c r="B349" s="48" t="s">
        <v>159</v>
      </c>
      <c r="C349" s="48" t="s">
        <v>278</v>
      </c>
      <c r="D349" s="48" t="s">
        <v>17</v>
      </c>
      <c r="E349" s="24">
        <v>1579.3</v>
      </c>
      <c r="F349" s="24">
        <v>-765.7</v>
      </c>
      <c r="G349" s="24">
        <f>E349+F349</f>
        <v>813.5999999999999</v>
      </c>
      <c r="H349" s="147"/>
      <c r="J349" s="192"/>
      <c r="K349" s="192"/>
    </row>
    <row r="350" spans="1:9" ht="31.5">
      <c r="A350" s="37" t="s">
        <v>160</v>
      </c>
      <c r="B350" s="38" t="s">
        <v>161</v>
      </c>
      <c r="C350" s="124"/>
      <c r="D350" s="124"/>
      <c r="E350" s="36">
        <f>E351+E420+E416</f>
        <v>1064700.7999999998</v>
      </c>
      <c r="F350" s="36">
        <f>F351+F420+F416</f>
        <v>2765.8</v>
      </c>
      <c r="G350" s="36">
        <f>G351+G420+G416</f>
        <v>1067466.5999999999</v>
      </c>
      <c r="H350" s="135">
        <f>E350-800</f>
        <v>1063900.7999999998</v>
      </c>
      <c r="I350" s="148"/>
    </row>
    <row r="351" spans="1:7" ht="31.5">
      <c r="A351" s="110" t="s">
        <v>118</v>
      </c>
      <c r="B351" s="105" t="s">
        <v>161</v>
      </c>
      <c r="C351" s="104" t="s">
        <v>205</v>
      </c>
      <c r="D351" s="104" t="s">
        <v>0</v>
      </c>
      <c r="E351" s="111">
        <f>E352+E370+E393+E402+E408</f>
        <v>1059580.5999999999</v>
      </c>
      <c r="F351" s="111">
        <f>F352+F370+F393+F402+F408</f>
        <v>2765.8</v>
      </c>
      <c r="G351" s="111">
        <f>G352+G370+G393+G402+G408</f>
        <v>1062346.4</v>
      </c>
    </row>
    <row r="352" spans="1:7" ht="31.5">
      <c r="A352" s="12" t="s">
        <v>162</v>
      </c>
      <c r="B352" s="125" t="s">
        <v>161</v>
      </c>
      <c r="C352" s="13" t="s">
        <v>206</v>
      </c>
      <c r="D352" s="13" t="s">
        <v>0</v>
      </c>
      <c r="E352" s="14">
        <f>E353+E363+E357+E366+E361+E355+E359+E368</f>
        <v>397554.9</v>
      </c>
      <c r="F352" s="14">
        <f>F353+F363+F357+F366+F361+F355+F359+F368</f>
        <v>967.2</v>
      </c>
      <c r="G352" s="14">
        <f>G353+G363+G357+G366+G361+G355+G359+G368</f>
        <v>398522.1</v>
      </c>
    </row>
    <row r="353" spans="1:9" ht="31.5">
      <c r="A353" s="46" t="s">
        <v>36</v>
      </c>
      <c r="B353" s="48" t="s">
        <v>161</v>
      </c>
      <c r="C353" s="48" t="s">
        <v>204</v>
      </c>
      <c r="D353" s="48"/>
      <c r="E353" s="49">
        <f>E354</f>
        <v>78689.7</v>
      </c>
      <c r="F353" s="49">
        <f>F354</f>
        <v>0</v>
      </c>
      <c r="G353" s="49">
        <f>G354</f>
        <v>78689.7</v>
      </c>
      <c r="I353" s="152"/>
    </row>
    <row r="354" spans="1:7" ht="47.25">
      <c r="A354" s="46" t="s">
        <v>15</v>
      </c>
      <c r="B354" s="48" t="s">
        <v>161</v>
      </c>
      <c r="C354" s="48" t="s">
        <v>204</v>
      </c>
      <c r="D354" s="48" t="s">
        <v>16</v>
      </c>
      <c r="E354" s="49">
        <v>78689.7</v>
      </c>
      <c r="F354" s="49">
        <v>0</v>
      </c>
      <c r="G354" s="49">
        <f>E354+F354</f>
        <v>78689.7</v>
      </c>
    </row>
    <row r="355" spans="1:7" ht="63">
      <c r="A355" s="46" t="s">
        <v>106</v>
      </c>
      <c r="B355" s="48" t="s">
        <v>161</v>
      </c>
      <c r="C355" s="48" t="s">
        <v>209</v>
      </c>
      <c r="D355" s="48"/>
      <c r="E355" s="49">
        <f>E356</f>
        <v>289137.80000000005</v>
      </c>
      <c r="F355" s="49">
        <f>F356</f>
        <v>967.2</v>
      </c>
      <c r="G355" s="49">
        <f>G356</f>
        <v>290105.00000000006</v>
      </c>
    </row>
    <row r="356" spans="1:7" ht="47.25">
      <c r="A356" s="46" t="s">
        <v>15</v>
      </c>
      <c r="B356" s="48" t="s">
        <v>161</v>
      </c>
      <c r="C356" s="48" t="s">
        <v>209</v>
      </c>
      <c r="D356" s="48" t="s">
        <v>16</v>
      </c>
      <c r="E356" s="49">
        <v>289137.80000000005</v>
      </c>
      <c r="F356" s="49">
        <v>967.2</v>
      </c>
      <c r="G356" s="49">
        <f>E356+F356</f>
        <v>290105.00000000006</v>
      </c>
    </row>
    <row r="357" spans="1:9" ht="47.25">
      <c r="A357" s="46" t="s">
        <v>37</v>
      </c>
      <c r="B357" s="32" t="s">
        <v>161</v>
      </c>
      <c r="C357" s="48" t="s">
        <v>207</v>
      </c>
      <c r="D357" s="48"/>
      <c r="E357" s="49">
        <f>E358</f>
        <v>7643</v>
      </c>
      <c r="F357" s="49">
        <f>F358</f>
        <v>0</v>
      </c>
      <c r="G357" s="49">
        <f>G358</f>
        <v>7643</v>
      </c>
      <c r="I357" s="152"/>
    </row>
    <row r="358" spans="1:7" ht="47.25">
      <c r="A358" s="46" t="s">
        <v>15</v>
      </c>
      <c r="B358" s="25" t="s">
        <v>161</v>
      </c>
      <c r="C358" s="48" t="s">
        <v>207</v>
      </c>
      <c r="D358" s="48" t="s">
        <v>16</v>
      </c>
      <c r="E358" s="49">
        <v>7643</v>
      </c>
      <c r="F358" s="49">
        <v>0</v>
      </c>
      <c r="G358" s="49">
        <f>E358+F358</f>
        <v>7643</v>
      </c>
    </row>
    <row r="359" spans="1:7" ht="47.25">
      <c r="A359" s="46" t="s">
        <v>384</v>
      </c>
      <c r="B359" s="25" t="s">
        <v>161</v>
      </c>
      <c r="C359" s="48" t="s">
        <v>434</v>
      </c>
      <c r="D359" s="48"/>
      <c r="E359" s="49">
        <f>E360</f>
        <v>583.6</v>
      </c>
      <c r="F359" s="49">
        <f>F360</f>
        <v>0</v>
      </c>
      <c r="G359" s="49">
        <f>G360</f>
        <v>583.6</v>
      </c>
    </row>
    <row r="360" spans="1:7" ht="47.25">
      <c r="A360" s="46" t="s">
        <v>15</v>
      </c>
      <c r="B360" s="25" t="s">
        <v>161</v>
      </c>
      <c r="C360" s="48" t="s">
        <v>434</v>
      </c>
      <c r="D360" s="48" t="s">
        <v>16</v>
      </c>
      <c r="E360" s="49">
        <v>583.6</v>
      </c>
      <c r="F360" s="49">
        <v>0</v>
      </c>
      <c r="G360" s="49">
        <f>E360+F360</f>
        <v>583.6</v>
      </c>
    </row>
    <row r="361" spans="1:9" ht="47.25">
      <c r="A361" s="46" t="s">
        <v>176</v>
      </c>
      <c r="B361" s="25" t="s">
        <v>161</v>
      </c>
      <c r="C361" s="48" t="s">
        <v>208</v>
      </c>
      <c r="D361" s="48"/>
      <c r="E361" s="49">
        <f>E362</f>
        <v>186</v>
      </c>
      <c r="F361" s="49">
        <f>F362</f>
        <v>0</v>
      </c>
      <c r="G361" s="49">
        <f>G362</f>
        <v>186</v>
      </c>
      <c r="I361" s="150"/>
    </row>
    <row r="362" spans="1:7" ht="47.25">
      <c r="A362" s="46" t="s">
        <v>15</v>
      </c>
      <c r="B362" s="25" t="s">
        <v>161</v>
      </c>
      <c r="C362" s="48" t="s">
        <v>208</v>
      </c>
      <c r="D362" s="48" t="s">
        <v>16</v>
      </c>
      <c r="E362" s="49">
        <v>186</v>
      </c>
      <c r="F362" s="49">
        <v>0</v>
      </c>
      <c r="G362" s="49">
        <f>E362+F362</f>
        <v>186</v>
      </c>
    </row>
    <row r="363" spans="1:9" ht="94.5">
      <c r="A363" s="46" t="s">
        <v>105</v>
      </c>
      <c r="B363" s="48" t="s">
        <v>161</v>
      </c>
      <c r="C363" s="48" t="s">
        <v>210</v>
      </c>
      <c r="D363" s="48"/>
      <c r="E363" s="49">
        <f>E365+E364</f>
        <v>19392.2</v>
      </c>
      <c r="F363" s="49">
        <f>F365+F364</f>
        <v>0</v>
      </c>
      <c r="G363" s="49">
        <f>G365+G364</f>
        <v>19392.2</v>
      </c>
      <c r="H363" s="148">
        <f>E356+E374</f>
        <v>718973</v>
      </c>
      <c r="I363" s="150"/>
    </row>
    <row r="364" spans="1:7" ht="31.5">
      <c r="A364" s="46" t="s">
        <v>38</v>
      </c>
      <c r="B364" s="48" t="s">
        <v>161</v>
      </c>
      <c r="C364" s="48" t="s">
        <v>210</v>
      </c>
      <c r="D364" s="48" t="s">
        <v>22</v>
      </c>
      <c r="E364" s="49">
        <v>796</v>
      </c>
      <c r="F364" s="49"/>
      <c r="G364" s="49">
        <f>E364+F364</f>
        <v>796</v>
      </c>
    </row>
    <row r="365" spans="1:9" ht="47.25">
      <c r="A365" s="46" t="s">
        <v>15</v>
      </c>
      <c r="B365" s="48" t="s">
        <v>161</v>
      </c>
      <c r="C365" s="48" t="s">
        <v>210</v>
      </c>
      <c r="D365" s="48" t="s">
        <v>16</v>
      </c>
      <c r="E365" s="49">
        <v>18596.2</v>
      </c>
      <c r="F365" s="49">
        <v>0</v>
      </c>
      <c r="G365" s="49">
        <f>E365+F365</f>
        <v>18596.2</v>
      </c>
      <c r="I365" s="149"/>
    </row>
    <row r="366" spans="1:9" ht="126">
      <c r="A366" s="65" t="s">
        <v>138</v>
      </c>
      <c r="B366" s="48" t="s">
        <v>161</v>
      </c>
      <c r="C366" s="48" t="s">
        <v>211</v>
      </c>
      <c r="D366" s="48"/>
      <c r="E366" s="49">
        <f>E367</f>
        <v>1848</v>
      </c>
      <c r="F366" s="49">
        <f>F367</f>
        <v>0</v>
      </c>
      <c r="G366" s="49">
        <f>G367</f>
        <v>1848</v>
      </c>
      <c r="I366" s="148">
        <f>G366+G391+G400</f>
        <v>6138</v>
      </c>
    </row>
    <row r="367" spans="1:9" ht="31.5">
      <c r="A367" s="46" t="s">
        <v>38</v>
      </c>
      <c r="B367" s="48" t="s">
        <v>161</v>
      </c>
      <c r="C367" s="48" t="s">
        <v>211</v>
      </c>
      <c r="D367" s="48" t="s">
        <v>22</v>
      </c>
      <c r="E367" s="49">
        <v>1848</v>
      </c>
      <c r="F367" s="49">
        <v>0</v>
      </c>
      <c r="G367" s="49">
        <f>E367+F367</f>
        <v>1848</v>
      </c>
      <c r="I367" s="149"/>
    </row>
    <row r="368" spans="1:9" ht="47.25">
      <c r="A368" s="46" t="s">
        <v>177</v>
      </c>
      <c r="B368" s="48" t="s">
        <v>161</v>
      </c>
      <c r="C368" s="48" t="s">
        <v>435</v>
      </c>
      <c r="D368" s="48"/>
      <c r="E368" s="49">
        <f>E369</f>
        <v>74.6</v>
      </c>
      <c r="F368" s="49">
        <f>F369</f>
        <v>0</v>
      </c>
      <c r="G368" s="49">
        <f>G369</f>
        <v>74.6</v>
      </c>
      <c r="I368" s="149"/>
    </row>
    <row r="369" spans="1:9" ht="47.25">
      <c r="A369" s="46" t="s">
        <v>15</v>
      </c>
      <c r="B369" s="48" t="s">
        <v>161</v>
      </c>
      <c r="C369" s="48" t="s">
        <v>435</v>
      </c>
      <c r="D369" s="48" t="s">
        <v>16</v>
      </c>
      <c r="E369" s="49">
        <v>74.6</v>
      </c>
      <c r="F369" s="49">
        <v>0</v>
      </c>
      <c r="G369" s="49">
        <f>E369+F369</f>
        <v>74.6</v>
      </c>
      <c r="I369" s="149"/>
    </row>
    <row r="370" spans="1:7" ht="31.5">
      <c r="A370" s="12" t="s">
        <v>119</v>
      </c>
      <c r="B370" s="125" t="s">
        <v>161</v>
      </c>
      <c r="C370" s="13" t="s">
        <v>212</v>
      </c>
      <c r="D370" s="13" t="s">
        <v>0</v>
      </c>
      <c r="E370" s="14">
        <f>E371+E375+E391+E388+E382+E384+E386+E373+E378+E380</f>
        <v>572339.8999999999</v>
      </c>
      <c r="F370" s="14">
        <f>F371+F375+F391+F388+F382+F384+F386+F373+F378+F380</f>
        <v>1798.6</v>
      </c>
      <c r="G370" s="14">
        <f>G371+G375+G391+G388+G382+G384+G386+G373+G378+G380</f>
        <v>574138.4999999999</v>
      </c>
    </row>
    <row r="371" spans="1:7" ht="31.5">
      <c r="A371" s="46" t="s">
        <v>36</v>
      </c>
      <c r="B371" s="48" t="s">
        <v>161</v>
      </c>
      <c r="C371" s="48" t="s">
        <v>213</v>
      </c>
      <c r="D371" s="48"/>
      <c r="E371" s="49">
        <f>E372</f>
        <v>107759.2</v>
      </c>
      <c r="F371" s="49">
        <f>F372</f>
        <v>0</v>
      </c>
      <c r="G371" s="49">
        <f>G372</f>
        <v>107759.2</v>
      </c>
    </row>
    <row r="372" spans="1:11" ht="47.25">
      <c r="A372" s="46" t="s">
        <v>15</v>
      </c>
      <c r="B372" s="25" t="s">
        <v>161</v>
      </c>
      <c r="C372" s="48" t="s">
        <v>213</v>
      </c>
      <c r="D372" s="48" t="s">
        <v>16</v>
      </c>
      <c r="E372" s="49">
        <v>107759.2</v>
      </c>
      <c r="F372" s="49">
        <v>0</v>
      </c>
      <c r="G372" s="49">
        <f>E372+F372</f>
        <v>107759.2</v>
      </c>
      <c r="K372" s="148"/>
    </row>
    <row r="373" spans="1:11" ht="63">
      <c r="A373" s="46" t="s">
        <v>106</v>
      </c>
      <c r="B373" s="25" t="s">
        <v>161</v>
      </c>
      <c r="C373" s="48" t="s">
        <v>215</v>
      </c>
      <c r="D373" s="48"/>
      <c r="E373" s="49">
        <f>E374</f>
        <v>429835.19999999995</v>
      </c>
      <c r="F373" s="49">
        <f>F374</f>
        <v>798.6</v>
      </c>
      <c r="G373" s="49">
        <f>G374</f>
        <v>430633.79999999993</v>
      </c>
      <c r="J373" s="148">
        <f>G373+G356</f>
        <v>720738.8</v>
      </c>
      <c r="K373" s="148">
        <f>E373+E355</f>
        <v>718973</v>
      </c>
    </row>
    <row r="374" spans="1:11" ht="47.25">
      <c r="A374" s="46" t="s">
        <v>15</v>
      </c>
      <c r="B374" s="48" t="s">
        <v>161</v>
      </c>
      <c r="C374" s="48" t="s">
        <v>215</v>
      </c>
      <c r="D374" s="48" t="s">
        <v>16</v>
      </c>
      <c r="E374" s="49">
        <v>429835.19999999995</v>
      </c>
      <c r="F374" s="49">
        <v>798.6</v>
      </c>
      <c r="G374" s="49">
        <f>E374+F374</f>
        <v>430633.79999999993</v>
      </c>
      <c r="K374" s="148"/>
    </row>
    <row r="375" spans="1:9" ht="47.25">
      <c r="A375" s="46" t="s">
        <v>39</v>
      </c>
      <c r="B375" s="48" t="s">
        <v>161</v>
      </c>
      <c r="C375" s="48" t="s">
        <v>223</v>
      </c>
      <c r="D375" s="48"/>
      <c r="E375" s="49">
        <f>E377+E376</f>
        <v>7931.4</v>
      </c>
      <c r="F375" s="49">
        <f>F377+F376</f>
        <v>0</v>
      </c>
      <c r="G375" s="49">
        <f>G377+G376</f>
        <v>7931.4</v>
      </c>
      <c r="I375" s="149"/>
    </row>
    <row r="376" spans="1:7" ht="47.25">
      <c r="A376" s="26" t="s">
        <v>40</v>
      </c>
      <c r="B376" s="48" t="s">
        <v>161</v>
      </c>
      <c r="C376" s="48" t="s">
        <v>223</v>
      </c>
      <c r="D376" s="48" t="s">
        <v>35</v>
      </c>
      <c r="E376" s="49">
        <v>3246.2</v>
      </c>
      <c r="F376" s="49">
        <v>0</v>
      </c>
      <c r="G376" s="49">
        <f>E376+F376</f>
        <v>3246.2</v>
      </c>
    </row>
    <row r="377" spans="1:9" ht="47.25">
      <c r="A377" s="46" t="s">
        <v>15</v>
      </c>
      <c r="B377" s="48" t="s">
        <v>161</v>
      </c>
      <c r="C377" s="48" t="s">
        <v>223</v>
      </c>
      <c r="D377" s="48" t="s">
        <v>16</v>
      </c>
      <c r="E377" s="49">
        <v>4685.2</v>
      </c>
      <c r="F377" s="49">
        <v>0</v>
      </c>
      <c r="G377" s="49">
        <f>E377+F377</f>
        <v>4685.2</v>
      </c>
      <c r="I377" s="149"/>
    </row>
    <row r="378" spans="1:9" ht="47.25">
      <c r="A378" s="46" t="s">
        <v>384</v>
      </c>
      <c r="B378" s="48" t="s">
        <v>161</v>
      </c>
      <c r="C378" s="48" t="s">
        <v>383</v>
      </c>
      <c r="D378" s="48"/>
      <c r="E378" s="49">
        <f>E379</f>
        <v>1895.6</v>
      </c>
      <c r="F378" s="49">
        <f>F379</f>
        <v>0</v>
      </c>
      <c r="G378" s="49">
        <f>G379</f>
        <v>1895.6</v>
      </c>
      <c r="I378" s="149"/>
    </row>
    <row r="379" spans="1:9" ht="47.25">
      <c r="A379" s="46" t="s">
        <v>15</v>
      </c>
      <c r="B379" s="48" t="s">
        <v>161</v>
      </c>
      <c r="C379" s="48" t="s">
        <v>383</v>
      </c>
      <c r="D379" s="48" t="s">
        <v>16</v>
      </c>
      <c r="E379" s="49">
        <v>1895.6</v>
      </c>
      <c r="F379" s="49">
        <v>0</v>
      </c>
      <c r="G379" s="49">
        <f>E379+F379</f>
        <v>1895.6</v>
      </c>
      <c r="I379" s="149"/>
    </row>
    <row r="380" spans="1:9" ht="47.25">
      <c r="A380" s="46" t="s">
        <v>384</v>
      </c>
      <c r="B380" s="48" t="s">
        <v>161</v>
      </c>
      <c r="C380" s="48" t="s">
        <v>385</v>
      </c>
      <c r="D380" s="48"/>
      <c r="E380" s="49">
        <f>E381</f>
        <v>130.5</v>
      </c>
      <c r="F380" s="49">
        <f>F381</f>
        <v>0</v>
      </c>
      <c r="G380" s="49">
        <f>G381</f>
        <v>130.5</v>
      </c>
      <c r="I380" s="149"/>
    </row>
    <row r="381" spans="1:9" ht="47.25">
      <c r="A381" s="46" t="s">
        <v>15</v>
      </c>
      <c r="B381" s="48" t="s">
        <v>161</v>
      </c>
      <c r="C381" s="48" t="s">
        <v>385</v>
      </c>
      <c r="D381" s="48" t="s">
        <v>16</v>
      </c>
      <c r="E381" s="49">
        <v>130.5</v>
      </c>
      <c r="F381" s="49">
        <v>0</v>
      </c>
      <c r="G381" s="49">
        <f>E381+F381</f>
        <v>130.5</v>
      </c>
      <c r="I381" s="149"/>
    </row>
    <row r="382" spans="1:7" ht="47.25">
      <c r="A382" s="46" t="s">
        <v>176</v>
      </c>
      <c r="B382" s="48" t="s">
        <v>161</v>
      </c>
      <c r="C382" s="48" t="s">
        <v>224</v>
      </c>
      <c r="D382" s="48"/>
      <c r="E382" s="49">
        <f>E383</f>
        <v>158</v>
      </c>
      <c r="F382" s="49">
        <f>F383</f>
        <v>0</v>
      </c>
      <c r="G382" s="49">
        <f>G383</f>
        <v>158</v>
      </c>
    </row>
    <row r="383" spans="1:9" ht="47.25">
      <c r="A383" s="46" t="s">
        <v>15</v>
      </c>
      <c r="B383" s="48" t="s">
        <v>161</v>
      </c>
      <c r="C383" s="48" t="s">
        <v>224</v>
      </c>
      <c r="D383" s="48" t="s">
        <v>16</v>
      </c>
      <c r="E383" s="49">
        <v>158</v>
      </c>
      <c r="F383" s="49">
        <v>0</v>
      </c>
      <c r="G383" s="49">
        <f>E383+F383</f>
        <v>158</v>
      </c>
      <c r="I383" s="149"/>
    </row>
    <row r="384" spans="1:7" ht="47.25">
      <c r="A384" s="46" t="s">
        <v>177</v>
      </c>
      <c r="B384" s="48" t="s">
        <v>161</v>
      </c>
      <c r="C384" s="48" t="s">
        <v>236</v>
      </c>
      <c r="D384" s="48"/>
      <c r="E384" s="49">
        <f>E385</f>
        <v>825.4</v>
      </c>
      <c r="F384" s="49">
        <f>F385</f>
        <v>0</v>
      </c>
      <c r="G384" s="49">
        <f>G385</f>
        <v>825.4</v>
      </c>
    </row>
    <row r="385" spans="1:9" ht="47.25">
      <c r="A385" s="46" t="s">
        <v>15</v>
      </c>
      <c r="B385" s="48" t="s">
        <v>161</v>
      </c>
      <c r="C385" s="48" t="s">
        <v>236</v>
      </c>
      <c r="D385" s="48" t="s">
        <v>16</v>
      </c>
      <c r="E385" s="49">
        <v>825.4</v>
      </c>
      <c r="F385" s="49">
        <v>0</v>
      </c>
      <c r="G385" s="49">
        <f>E385+F385</f>
        <v>825.4</v>
      </c>
      <c r="I385" s="149"/>
    </row>
    <row r="386" spans="1:9" ht="63">
      <c r="A386" s="46" t="s">
        <v>178</v>
      </c>
      <c r="B386" s="48" t="s">
        <v>161</v>
      </c>
      <c r="C386" s="48" t="s">
        <v>225</v>
      </c>
      <c r="D386" s="48"/>
      <c r="E386" s="49">
        <f>E387</f>
        <v>19688</v>
      </c>
      <c r="F386" s="49">
        <f>F387</f>
        <v>1000</v>
      </c>
      <c r="G386" s="49">
        <f>G387</f>
        <v>20688</v>
      </c>
      <c r="I386" s="149"/>
    </row>
    <row r="387" spans="1:9" ht="47.25">
      <c r="A387" s="46" t="s">
        <v>15</v>
      </c>
      <c r="B387" s="48" t="s">
        <v>161</v>
      </c>
      <c r="C387" s="48" t="s">
        <v>225</v>
      </c>
      <c r="D387" s="48" t="s">
        <v>16</v>
      </c>
      <c r="E387" s="49">
        <v>19688</v>
      </c>
      <c r="F387" s="49">
        <f>750+250</f>
        <v>1000</v>
      </c>
      <c r="G387" s="49">
        <f>E387+F387</f>
        <v>20688</v>
      </c>
      <c r="I387" s="149"/>
    </row>
    <row r="388" spans="1:7" ht="78.75">
      <c r="A388" s="46" t="s">
        <v>163</v>
      </c>
      <c r="B388" s="48" t="s">
        <v>161</v>
      </c>
      <c r="C388" s="48" t="s">
        <v>214</v>
      </c>
      <c r="D388" s="48"/>
      <c r="E388" s="49">
        <f>E390+E389</f>
        <v>30.6</v>
      </c>
      <c r="F388" s="49">
        <f>F390+F389</f>
        <v>0</v>
      </c>
      <c r="G388" s="49">
        <f>G390+G389</f>
        <v>30.6</v>
      </c>
    </row>
    <row r="389" spans="1:7" ht="31.5">
      <c r="A389" s="46" t="s">
        <v>38</v>
      </c>
      <c r="B389" s="48" t="s">
        <v>161</v>
      </c>
      <c r="C389" s="48" t="s">
        <v>214</v>
      </c>
      <c r="D389" s="48" t="s">
        <v>22</v>
      </c>
      <c r="E389" s="49">
        <v>29.8</v>
      </c>
      <c r="F389" s="49">
        <v>0</v>
      </c>
      <c r="G389" s="49">
        <f>E389+F389</f>
        <v>29.8</v>
      </c>
    </row>
    <row r="390" spans="1:9" ht="47.25">
      <c r="A390" s="46" t="s">
        <v>15</v>
      </c>
      <c r="B390" s="48" t="s">
        <v>161</v>
      </c>
      <c r="C390" s="48" t="s">
        <v>214</v>
      </c>
      <c r="D390" s="48" t="s">
        <v>16</v>
      </c>
      <c r="E390" s="49">
        <v>0.8</v>
      </c>
      <c r="F390" s="49">
        <v>0</v>
      </c>
      <c r="G390" s="49">
        <f>E390+F390</f>
        <v>0.8</v>
      </c>
      <c r="I390" s="149"/>
    </row>
    <row r="391" spans="1:7" ht="143.25" customHeight="1">
      <c r="A391" s="65" t="s">
        <v>138</v>
      </c>
      <c r="B391" s="48" t="s">
        <v>161</v>
      </c>
      <c r="C391" s="48" t="s">
        <v>216</v>
      </c>
      <c r="D391" s="48"/>
      <c r="E391" s="49">
        <f>E392</f>
        <v>4086</v>
      </c>
      <c r="F391" s="49">
        <f>F392</f>
        <v>0</v>
      </c>
      <c r="G391" s="49">
        <f>G392</f>
        <v>4086</v>
      </c>
    </row>
    <row r="392" spans="1:7" ht="31.5">
      <c r="A392" s="46" t="s">
        <v>38</v>
      </c>
      <c r="B392" s="48" t="s">
        <v>161</v>
      </c>
      <c r="C392" s="48" t="s">
        <v>216</v>
      </c>
      <c r="D392" s="48" t="s">
        <v>22</v>
      </c>
      <c r="E392" s="49">
        <v>4086</v>
      </c>
      <c r="F392" s="49">
        <v>0</v>
      </c>
      <c r="G392" s="49">
        <f>E392+F392</f>
        <v>4086</v>
      </c>
    </row>
    <row r="393" spans="1:7" ht="31.5">
      <c r="A393" s="12" t="s">
        <v>120</v>
      </c>
      <c r="B393" s="125" t="s">
        <v>161</v>
      </c>
      <c r="C393" s="13" t="s">
        <v>217</v>
      </c>
      <c r="D393" s="13" t="s">
        <v>0</v>
      </c>
      <c r="E393" s="14">
        <f>E394+E396+E398+E400</f>
        <v>25996.600000000002</v>
      </c>
      <c r="F393" s="14">
        <f>F394+F396+F398+F400</f>
        <v>0</v>
      </c>
      <c r="G393" s="14">
        <f>G394+G396+G398+G400</f>
        <v>25996.600000000002</v>
      </c>
    </row>
    <row r="394" spans="1:7" ht="31.5">
      <c r="A394" s="46" t="s">
        <v>36</v>
      </c>
      <c r="B394" s="48" t="s">
        <v>161</v>
      </c>
      <c r="C394" s="48" t="s">
        <v>218</v>
      </c>
      <c r="D394" s="48"/>
      <c r="E394" s="49">
        <f>E395</f>
        <v>25599.9</v>
      </c>
      <c r="F394" s="49">
        <f>F395</f>
        <v>0</v>
      </c>
      <c r="G394" s="49">
        <f>G395</f>
        <v>25599.9</v>
      </c>
    </row>
    <row r="395" spans="1:7" ht="47.25">
      <c r="A395" s="46" t="s">
        <v>15</v>
      </c>
      <c r="B395" s="48" t="s">
        <v>161</v>
      </c>
      <c r="C395" s="48" t="s">
        <v>218</v>
      </c>
      <c r="D395" s="48" t="s">
        <v>16</v>
      </c>
      <c r="E395" s="49">
        <v>25599.9</v>
      </c>
      <c r="F395" s="49">
        <v>0</v>
      </c>
      <c r="G395" s="49">
        <f>E395+F395</f>
        <v>25599.9</v>
      </c>
    </row>
    <row r="396" spans="1:7" ht="47.25">
      <c r="A396" s="46" t="s">
        <v>41</v>
      </c>
      <c r="B396" s="48" t="s">
        <v>161</v>
      </c>
      <c r="C396" s="48" t="s">
        <v>226</v>
      </c>
      <c r="D396" s="48"/>
      <c r="E396" s="49">
        <f>E397</f>
        <v>151.4</v>
      </c>
      <c r="F396" s="49">
        <f>F397</f>
        <v>0</v>
      </c>
      <c r="G396" s="49">
        <f>G397</f>
        <v>151.4</v>
      </c>
    </row>
    <row r="397" spans="1:7" ht="47.25">
      <c r="A397" s="46" t="s">
        <v>15</v>
      </c>
      <c r="B397" s="48" t="s">
        <v>161</v>
      </c>
      <c r="C397" s="48" t="s">
        <v>226</v>
      </c>
      <c r="D397" s="48" t="s">
        <v>16</v>
      </c>
      <c r="E397" s="49">
        <v>151.4</v>
      </c>
      <c r="F397" s="49">
        <v>0</v>
      </c>
      <c r="G397" s="49">
        <f>E397+F397</f>
        <v>151.4</v>
      </c>
    </row>
    <row r="398" spans="1:7" ht="47.25">
      <c r="A398" s="46" t="s">
        <v>176</v>
      </c>
      <c r="B398" s="48" t="s">
        <v>161</v>
      </c>
      <c r="C398" s="48" t="s">
        <v>227</v>
      </c>
      <c r="D398" s="48"/>
      <c r="E398" s="49">
        <f>E399</f>
        <v>41.3</v>
      </c>
      <c r="F398" s="49">
        <f>F399</f>
        <v>0</v>
      </c>
      <c r="G398" s="49">
        <f>G399</f>
        <v>41.3</v>
      </c>
    </row>
    <row r="399" spans="1:7" ht="47.25">
      <c r="A399" s="46" t="s">
        <v>15</v>
      </c>
      <c r="B399" s="48" t="s">
        <v>161</v>
      </c>
      <c r="C399" s="48" t="s">
        <v>227</v>
      </c>
      <c r="D399" s="48" t="s">
        <v>16</v>
      </c>
      <c r="E399" s="49">
        <v>41.3</v>
      </c>
      <c r="F399" s="49">
        <v>0</v>
      </c>
      <c r="G399" s="49">
        <f>E399+F399</f>
        <v>41.3</v>
      </c>
    </row>
    <row r="400" spans="1:7" ht="126">
      <c r="A400" s="65" t="s">
        <v>138</v>
      </c>
      <c r="B400" s="48" t="s">
        <v>161</v>
      </c>
      <c r="C400" s="48" t="s">
        <v>219</v>
      </c>
      <c r="D400" s="48"/>
      <c r="E400" s="49">
        <f>E401</f>
        <v>204</v>
      </c>
      <c r="F400" s="49">
        <f>F401</f>
        <v>0</v>
      </c>
      <c r="G400" s="49">
        <f>G401</f>
        <v>204</v>
      </c>
    </row>
    <row r="401" spans="1:7" ht="33.75" customHeight="1">
      <c r="A401" s="46" t="s">
        <v>38</v>
      </c>
      <c r="B401" s="48" t="s">
        <v>161</v>
      </c>
      <c r="C401" s="48" t="s">
        <v>219</v>
      </c>
      <c r="D401" s="48" t="s">
        <v>22</v>
      </c>
      <c r="E401" s="49">
        <v>204</v>
      </c>
      <c r="F401" s="49">
        <v>0</v>
      </c>
      <c r="G401" s="49">
        <f>E401+F401</f>
        <v>204</v>
      </c>
    </row>
    <row r="402" spans="1:7" ht="31.5">
      <c r="A402" s="12" t="s">
        <v>121</v>
      </c>
      <c r="B402" s="125" t="s">
        <v>161</v>
      </c>
      <c r="C402" s="13" t="s">
        <v>231</v>
      </c>
      <c r="D402" s="13" t="s">
        <v>0</v>
      </c>
      <c r="E402" s="14">
        <f>E405+E403</f>
        <v>5223.1</v>
      </c>
      <c r="F402" s="14">
        <f>F405+F403</f>
        <v>0</v>
      </c>
      <c r="G402" s="14">
        <f>G405+G403</f>
        <v>5223.1</v>
      </c>
    </row>
    <row r="403" spans="1:7" s="179" customFormat="1" ht="31.5">
      <c r="A403" s="181" t="s">
        <v>181</v>
      </c>
      <c r="B403" s="40" t="s">
        <v>161</v>
      </c>
      <c r="C403" s="180" t="s">
        <v>402</v>
      </c>
      <c r="D403" s="40"/>
      <c r="E403" s="41">
        <f>E404</f>
        <v>2148.3</v>
      </c>
      <c r="F403" s="41">
        <f>F404</f>
        <v>0</v>
      </c>
      <c r="G403" s="41">
        <f>G404</f>
        <v>2148.3</v>
      </c>
    </row>
    <row r="404" spans="1:7" s="179" customFormat="1" ht="47.25">
      <c r="A404" s="95" t="s">
        <v>15</v>
      </c>
      <c r="B404" s="40" t="s">
        <v>161</v>
      </c>
      <c r="C404" s="180" t="s">
        <v>402</v>
      </c>
      <c r="D404" s="40" t="s">
        <v>16</v>
      </c>
      <c r="E404" s="41">
        <v>2148.3</v>
      </c>
      <c r="F404" s="41">
        <v>0</v>
      </c>
      <c r="G404" s="41">
        <f>E404+F404</f>
        <v>2148.3</v>
      </c>
    </row>
    <row r="405" spans="1:7" ht="31.5">
      <c r="A405" s="46" t="s">
        <v>407</v>
      </c>
      <c r="B405" s="48" t="s">
        <v>161</v>
      </c>
      <c r="C405" s="48" t="s">
        <v>339</v>
      </c>
      <c r="D405" s="48"/>
      <c r="E405" s="49">
        <f>E406+E407</f>
        <v>3074.8</v>
      </c>
      <c r="F405" s="49">
        <f>F406+F407</f>
        <v>0</v>
      </c>
      <c r="G405" s="49">
        <f>G406+G407</f>
        <v>3074.8</v>
      </c>
    </row>
    <row r="406" spans="1:7" ht="31.5">
      <c r="A406" s="46" t="s">
        <v>18</v>
      </c>
      <c r="B406" s="48" t="s">
        <v>161</v>
      </c>
      <c r="C406" s="48" t="s">
        <v>339</v>
      </c>
      <c r="D406" s="48" t="s">
        <v>13</v>
      </c>
      <c r="E406" s="49">
        <v>405</v>
      </c>
      <c r="F406" s="49">
        <v>0</v>
      </c>
      <c r="G406" s="49">
        <f>E406+F406</f>
        <v>405</v>
      </c>
    </row>
    <row r="407" spans="1:7" ht="47.25">
      <c r="A407" s="95" t="s">
        <v>15</v>
      </c>
      <c r="B407" s="48" t="s">
        <v>161</v>
      </c>
      <c r="C407" s="48" t="s">
        <v>339</v>
      </c>
      <c r="D407" s="48" t="s">
        <v>16</v>
      </c>
      <c r="E407" s="49">
        <v>2669.8</v>
      </c>
      <c r="F407" s="49">
        <v>0</v>
      </c>
      <c r="G407" s="49">
        <f>E407+F407</f>
        <v>2669.8</v>
      </c>
    </row>
    <row r="408" spans="1:7" ht="31.5">
      <c r="A408" s="12" t="s">
        <v>113</v>
      </c>
      <c r="B408" s="125" t="s">
        <v>161</v>
      </c>
      <c r="C408" s="13" t="s">
        <v>220</v>
      </c>
      <c r="D408" s="13" t="s">
        <v>0</v>
      </c>
      <c r="E408" s="14">
        <f>E409+E413</f>
        <v>58466.100000000006</v>
      </c>
      <c r="F408" s="14">
        <f>F409+F413</f>
        <v>0</v>
      </c>
      <c r="G408" s="14">
        <f>G409+G413</f>
        <v>58466.100000000006</v>
      </c>
    </row>
    <row r="409" spans="1:7" ht="31.5">
      <c r="A409" s="46" t="s">
        <v>19</v>
      </c>
      <c r="B409" s="48" t="s">
        <v>161</v>
      </c>
      <c r="C409" s="48" t="s">
        <v>221</v>
      </c>
      <c r="D409" s="48"/>
      <c r="E409" s="49">
        <f>E410+E411+E412</f>
        <v>30232.100000000002</v>
      </c>
      <c r="F409" s="49">
        <f>F410+F411+F412</f>
        <v>0</v>
      </c>
      <c r="G409" s="49">
        <f>G410+G411+G412</f>
        <v>30232.100000000002</v>
      </c>
    </row>
    <row r="410" spans="1:7" ht="78.75">
      <c r="A410" s="46" t="s">
        <v>20</v>
      </c>
      <c r="B410" s="48" t="s">
        <v>161</v>
      </c>
      <c r="C410" s="48" t="s">
        <v>221</v>
      </c>
      <c r="D410" s="48" t="s">
        <v>21</v>
      </c>
      <c r="E410" s="49">
        <v>25537.9</v>
      </c>
      <c r="F410" s="49">
        <v>0</v>
      </c>
      <c r="G410" s="49">
        <f>E410+F410</f>
        <v>25537.9</v>
      </c>
    </row>
    <row r="411" spans="1:7" ht="31.5">
      <c r="A411" s="46" t="s">
        <v>18</v>
      </c>
      <c r="B411" s="48" t="s">
        <v>161</v>
      </c>
      <c r="C411" s="48" t="s">
        <v>221</v>
      </c>
      <c r="D411" s="48" t="s">
        <v>13</v>
      </c>
      <c r="E411" s="49">
        <v>4536.200000000001</v>
      </c>
      <c r="F411" s="49">
        <v>0</v>
      </c>
      <c r="G411" s="49">
        <f>E411+F411</f>
        <v>4536.200000000001</v>
      </c>
    </row>
    <row r="412" spans="1:7" ht="15.75">
      <c r="A412" s="90" t="s">
        <v>14</v>
      </c>
      <c r="B412" s="48" t="s">
        <v>161</v>
      </c>
      <c r="C412" s="48" t="s">
        <v>221</v>
      </c>
      <c r="D412" s="48" t="s">
        <v>17</v>
      </c>
      <c r="E412" s="49">
        <v>158</v>
      </c>
      <c r="F412" s="49">
        <v>0</v>
      </c>
      <c r="G412" s="49">
        <f>E412+F412</f>
        <v>158</v>
      </c>
    </row>
    <row r="413" spans="1:7" ht="31.5">
      <c r="A413" s="46" t="s">
        <v>83</v>
      </c>
      <c r="B413" s="48" t="s">
        <v>161</v>
      </c>
      <c r="C413" s="48" t="s">
        <v>232</v>
      </c>
      <c r="D413" s="48"/>
      <c r="E413" s="49">
        <f>E414+E415</f>
        <v>28234</v>
      </c>
      <c r="F413" s="49">
        <f>F414+F415</f>
        <v>0</v>
      </c>
      <c r="G413" s="49">
        <f>G414+G415</f>
        <v>28234</v>
      </c>
    </row>
    <row r="414" spans="1:7" ht="78.75">
      <c r="A414" s="46" t="s">
        <v>20</v>
      </c>
      <c r="B414" s="48" t="s">
        <v>161</v>
      </c>
      <c r="C414" s="48" t="s">
        <v>222</v>
      </c>
      <c r="D414" s="48" t="s">
        <v>21</v>
      </c>
      <c r="E414" s="49">
        <v>26730.8</v>
      </c>
      <c r="F414" s="49">
        <v>0</v>
      </c>
      <c r="G414" s="49">
        <f>E414+F414</f>
        <v>26730.8</v>
      </c>
    </row>
    <row r="415" spans="1:7" ht="31.5">
      <c r="A415" s="46" t="s">
        <v>18</v>
      </c>
      <c r="B415" s="48" t="s">
        <v>161</v>
      </c>
      <c r="C415" s="48" t="s">
        <v>222</v>
      </c>
      <c r="D415" s="48" t="s">
        <v>13</v>
      </c>
      <c r="E415" s="49">
        <v>1503.2</v>
      </c>
      <c r="F415" s="49">
        <v>0</v>
      </c>
      <c r="G415" s="49">
        <f>E415+F415</f>
        <v>1503.2</v>
      </c>
    </row>
    <row r="416" spans="1:7" ht="47.25">
      <c r="A416" s="110" t="s">
        <v>164</v>
      </c>
      <c r="B416" s="104" t="s">
        <v>161</v>
      </c>
      <c r="C416" s="104" t="s">
        <v>234</v>
      </c>
      <c r="D416" s="104"/>
      <c r="E416" s="126">
        <f aca="true" t="shared" si="3" ref="E416:G418">E417</f>
        <v>2320</v>
      </c>
      <c r="F416" s="126">
        <f t="shared" si="3"/>
        <v>0</v>
      </c>
      <c r="G416" s="126">
        <f t="shared" si="3"/>
        <v>2320</v>
      </c>
    </row>
    <row r="417" spans="1:7" ht="31.5">
      <c r="A417" s="12" t="s">
        <v>411</v>
      </c>
      <c r="B417" s="112" t="s">
        <v>161</v>
      </c>
      <c r="C417" s="13" t="s">
        <v>233</v>
      </c>
      <c r="D417" s="13"/>
      <c r="E417" s="14">
        <f t="shared" si="3"/>
        <v>2320</v>
      </c>
      <c r="F417" s="14">
        <f t="shared" si="3"/>
        <v>0</v>
      </c>
      <c r="G417" s="14">
        <f t="shared" si="3"/>
        <v>2320</v>
      </c>
    </row>
    <row r="418" spans="1:7" ht="63">
      <c r="A418" s="26" t="s">
        <v>165</v>
      </c>
      <c r="B418" s="25" t="s">
        <v>161</v>
      </c>
      <c r="C418" s="25" t="s">
        <v>235</v>
      </c>
      <c r="D418" s="24"/>
      <c r="E418" s="41">
        <f t="shared" si="3"/>
        <v>2320</v>
      </c>
      <c r="F418" s="41">
        <f t="shared" si="3"/>
        <v>0</v>
      </c>
      <c r="G418" s="41">
        <f t="shared" si="3"/>
        <v>2320</v>
      </c>
    </row>
    <row r="419" spans="1:7" ht="47.25">
      <c r="A419" s="95" t="s">
        <v>15</v>
      </c>
      <c r="B419" s="40" t="s">
        <v>161</v>
      </c>
      <c r="C419" s="40" t="s">
        <v>235</v>
      </c>
      <c r="D419" s="25" t="s">
        <v>16</v>
      </c>
      <c r="E419" s="41">
        <v>2320</v>
      </c>
      <c r="F419" s="41">
        <v>0</v>
      </c>
      <c r="G419" s="41">
        <f>E419+F419</f>
        <v>2320</v>
      </c>
    </row>
    <row r="420" spans="1:7" ht="31.5">
      <c r="A420" s="110" t="s">
        <v>130</v>
      </c>
      <c r="B420" s="104" t="s">
        <v>161</v>
      </c>
      <c r="C420" s="104" t="s">
        <v>295</v>
      </c>
      <c r="D420" s="104" t="s">
        <v>0</v>
      </c>
      <c r="E420" s="126">
        <f aca="true" t="shared" si="4" ref="E420:G422">E421</f>
        <v>2800.2</v>
      </c>
      <c r="F420" s="126">
        <f t="shared" si="4"/>
        <v>0</v>
      </c>
      <c r="G420" s="126">
        <f t="shared" si="4"/>
        <v>2800.2</v>
      </c>
    </row>
    <row r="421" spans="1:7" ht="63">
      <c r="A421" s="12" t="s">
        <v>132</v>
      </c>
      <c r="B421" s="125" t="s">
        <v>161</v>
      </c>
      <c r="C421" s="13" t="s">
        <v>237</v>
      </c>
      <c r="D421" s="13" t="s">
        <v>0</v>
      </c>
      <c r="E421" s="14">
        <f t="shared" si="4"/>
        <v>2800.2</v>
      </c>
      <c r="F421" s="14">
        <f t="shared" si="4"/>
        <v>0</v>
      </c>
      <c r="G421" s="14">
        <f t="shared" si="4"/>
        <v>2800.2</v>
      </c>
    </row>
    <row r="422" spans="1:7" ht="94.5">
      <c r="A422" s="47" t="s">
        <v>166</v>
      </c>
      <c r="B422" s="32" t="s">
        <v>161</v>
      </c>
      <c r="C422" s="40" t="s">
        <v>299</v>
      </c>
      <c r="D422" s="40"/>
      <c r="E422" s="73">
        <f t="shared" si="4"/>
        <v>2800.2</v>
      </c>
      <c r="F422" s="73">
        <f t="shared" si="4"/>
        <v>0</v>
      </c>
      <c r="G422" s="73">
        <f t="shared" si="4"/>
        <v>2800.2</v>
      </c>
    </row>
    <row r="423" spans="1:7" ht="31.5">
      <c r="A423" s="47" t="s">
        <v>38</v>
      </c>
      <c r="B423" s="32" t="s">
        <v>161</v>
      </c>
      <c r="C423" s="40" t="s">
        <v>299</v>
      </c>
      <c r="D423" s="40" t="s">
        <v>22</v>
      </c>
      <c r="E423" s="73">
        <v>2800.2</v>
      </c>
      <c r="F423" s="73"/>
      <c r="G423" s="73">
        <f>F423+E423</f>
        <v>2800.2</v>
      </c>
    </row>
    <row r="424" spans="1:7" ht="31.5">
      <c r="A424" s="37" t="s">
        <v>167</v>
      </c>
      <c r="B424" s="38" t="s">
        <v>168</v>
      </c>
      <c r="C424" s="109"/>
      <c r="D424" s="123"/>
      <c r="E424" s="36">
        <f>E425+E431</f>
        <v>47938.3</v>
      </c>
      <c r="F424" s="36">
        <f>F425+F431</f>
        <v>-441</v>
      </c>
      <c r="G424" s="36">
        <f>G425+G431</f>
        <v>47497.3</v>
      </c>
    </row>
    <row r="425" spans="1:7" ht="47.25">
      <c r="A425" s="110" t="s">
        <v>123</v>
      </c>
      <c r="B425" s="127" t="s">
        <v>168</v>
      </c>
      <c r="C425" s="104" t="s">
        <v>271</v>
      </c>
      <c r="D425" s="104" t="s">
        <v>0</v>
      </c>
      <c r="E425" s="111">
        <f aca="true" t="shared" si="5" ref="E425:G426">E426</f>
        <v>19107.399999999998</v>
      </c>
      <c r="F425" s="111">
        <f t="shared" si="5"/>
        <v>-441</v>
      </c>
      <c r="G425" s="111">
        <f t="shared" si="5"/>
        <v>18666.399999999998</v>
      </c>
    </row>
    <row r="426" spans="1:7" ht="47.25">
      <c r="A426" s="12" t="s">
        <v>124</v>
      </c>
      <c r="B426" s="112" t="s">
        <v>168</v>
      </c>
      <c r="C426" s="13" t="s">
        <v>272</v>
      </c>
      <c r="D426" s="13" t="s">
        <v>0</v>
      </c>
      <c r="E426" s="14">
        <f t="shared" si="5"/>
        <v>19107.399999999998</v>
      </c>
      <c r="F426" s="14">
        <f t="shared" si="5"/>
        <v>-441</v>
      </c>
      <c r="G426" s="14">
        <f t="shared" si="5"/>
        <v>18666.399999999998</v>
      </c>
    </row>
    <row r="427" spans="1:7" ht="31.5">
      <c r="A427" s="89" t="s">
        <v>19</v>
      </c>
      <c r="B427" s="48" t="s">
        <v>168</v>
      </c>
      <c r="C427" s="17" t="s">
        <v>273</v>
      </c>
      <c r="D427" s="25"/>
      <c r="E427" s="24">
        <f>SUM(E428:E430)</f>
        <v>19107.399999999998</v>
      </c>
      <c r="F427" s="24">
        <f>SUM(F428:F430)</f>
        <v>-441</v>
      </c>
      <c r="G427" s="24">
        <f>SUM(G428:G430)</f>
        <v>18666.399999999998</v>
      </c>
    </row>
    <row r="428" spans="1:7" ht="78.75">
      <c r="A428" s="63" t="s">
        <v>20</v>
      </c>
      <c r="B428" s="48" t="s">
        <v>168</v>
      </c>
      <c r="C428" s="17" t="s">
        <v>273</v>
      </c>
      <c r="D428" s="48" t="s">
        <v>21</v>
      </c>
      <c r="E428" s="24">
        <v>17900</v>
      </c>
      <c r="F428" s="24">
        <v>-396</v>
      </c>
      <c r="G428" s="24">
        <f>E428+F428</f>
        <v>17504</v>
      </c>
    </row>
    <row r="429" spans="1:7" ht="31.5">
      <c r="A429" s="51" t="s">
        <v>18</v>
      </c>
      <c r="B429" s="48" t="s">
        <v>168</v>
      </c>
      <c r="C429" s="17" t="s">
        <v>273</v>
      </c>
      <c r="D429" s="48" t="s">
        <v>13</v>
      </c>
      <c r="E429" s="24">
        <v>1181.1</v>
      </c>
      <c r="F429" s="24">
        <v>-45</v>
      </c>
      <c r="G429" s="24">
        <f>E429+F429</f>
        <v>1136.1</v>
      </c>
    </row>
    <row r="430" spans="1:7" ht="15.75">
      <c r="A430" s="90" t="s">
        <v>14</v>
      </c>
      <c r="B430" s="48" t="s">
        <v>168</v>
      </c>
      <c r="C430" s="17" t="s">
        <v>273</v>
      </c>
      <c r="D430" s="48" t="s">
        <v>17</v>
      </c>
      <c r="E430" s="24">
        <v>26.3</v>
      </c>
      <c r="F430" s="24"/>
      <c r="G430" s="24">
        <f>E430+F430</f>
        <v>26.3</v>
      </c>
    </row>
    <row r="431" spans="1:7" ht="15.75">
      <c r="A431" s="103" t="s">
        <v>43</v>
      </c>
      <c r="B431" s="105" t="s">
        <v>168</v>
      </c>
      <c r="C431" s="105" t="s">
        <v>188</v>
      </c>
      <c r="D431" s="105" t="s">
        <v>0</v>
      </c>
      <c r="E431" s="106">
        <f>E436+E438+E440+E442+E444+E446+E434+E448+E450+E432</f>
        <v>28830.9</v>
      </c>
      <c r="F431" s="106">
        <f>F436+F438+F440+F442+F444+F446+F434+F448+F450+F432</f>
        <v>0</v>
      </c>
      <c r="G431" s="106">
        <f>G436+G438+G440+G442+G444+G446+G434+G448+G450+G432</f>
        <v>28830.9</v>
      </c>
    </row>
    <row r="432" spans="1:7" ht="78.75">
      <c r="A432" s="26" t="s">
        <v>367</v>
      </c>
      <c r="B432" s="48" t="s">
        <v>168</v>
      </c>
      <c r="C432" s="48" t="s">
        <v>368</v>
      </c>
      <c r="D432" s="25"/>
      <c r="E432" s="49">
        <f>E433</f>
        <v>12</v>
      </c>
      <c r="F432" s="49">
        <f>F433</f>
        <v>0</v>
      </c>
      <c r="G432" s="49">
        <f>G433</f>
        <v>12</v>
      </c>
    </row>
    <row r="433" spans="1:7" ht="31.5">
      <c r="A433" s="51" t="s">
        <v>18</v>
      </c>
      <c r="B433" s="48" t="s">
        <v>168</v>
      </c>
      <c r="C433" s="48" t="s">
        <v>368</v>
      </c>
      <c r="D433" s="25" t="s">
        <v>13</v>
      </c>
      <c r="E433" s="49">
        <v>12</v>
      </c>
      <c r="F433" s="49"/>
      <c r="G433" s="49">
        <f>E433+F433</f>
        <v>12</v>
      </c>
    </row>
    <row r="434" spans="1:7" ht="47.25">
      <c r="A434" s="167" t="s">
        <v>66</v>
      </c>
      <c r="B434" s="48" t="s">
        <v>168</v>
      </c>
      <c r="C434" s="48" t="s">
        <v>186</v>
      </c>
      <c r="D434" s="25"/>
      <c r="E434" s="49">
        <f>E435</f>
        <v>1154.4</v>
      </c>
      <c r="F434" s="49">
        <f>F435</f>
        <v>0</v>
      </c>
      <c r="G434" s="49">
        <f>G435</f>
        <v>1154.4</v>
      </c>
    </row>
    <row r="435" spans="1:7" ht="15.75">
      <c r="A435" s="52" t="s">
        <v>61</v>
      </c>
      <c r="B435" s="48" t="s">
        <v>168</v>
      </c>
      <c r="C435" s="48" t="s">
        <v>186</v>
      </c>
      <c r="D435" s="48" t="s">
        <v>62</v>
      </c>
      <c r="E435" s="49">
        <v>1154.4</v>
      </c>
      <c r="F435" s="49"/>
      <c r="G435" s="49">
        <f>E435+F435</f>
        <v>1154.4</v>
      </c>
    </row>
    <row r="436" spans="1:7" ht="63">
      <c r="A436" s="97" t="s">
        <v>65</v>
      </c>
      <c r="B436" s="48" t="s">
        <v>168</v>
      </c>
      <c r="C436" s="48" t="s">
        <v>187</v>
      </c>
      <c r="D436" s="25"/>
      <c r="E436" s="49">
        <f>E437</f>
        <v>136.9</v>
      </c>
      <c r="F436" s="49">
        <f>F437</f>
        <v>0</v>
      </c>
      <c r="G436" s="49">
        <f>G437</f>
        <v>136.9</v>
      </c>
    </row>
    <row r="437" spans="1:7" ht="15.75">
      <c r="A437" s="52" t="s">
        <v>61</v>
      </c>
      <c r="B437" s="48" t="s">
        <v>168</v>
      </c>
      <c r="C437" s="48" t="s">
        <v>187</v>
      </c>
      <c r="D437" s="48" t="s">
        <v>62</v>
      </c>
      <c r="E437" s="49">
        <v>136.9</v>
      </c>
      <c r="F437" s="49"/>
      <c r="G437" s="49">
        <f>E437+F437</f>
        <v>136.9</v>
      </c>
    </row>
    <row r="438" spans="1:7" ht="243.75" customHeight="1">
      <c r="A438" s="175" t="s">
        <v>329</v>
      </c>
      <c r="B438" s="48" t="s">
        <v>168</v>
      </c>
      <c r="C438" s="59" t="s">
        <v>191</v>
      </c>
      <c r="D438" s="60"/>
      <c r="E438" s="56">
        <f>E439</f>
        <v>3</v>
      </c>
      <c r="F438" s="56">
        <f>F439</f>
        <v>0</v>
      </c>
      <c r="G438" s="56">
        <f>G439</f>
        <v>3</v>
      </c>
    </row>
    <row r="439" spans="1:7" ht="31.5">
      <c r="A439" s="62" t="s">
        <v>18</v>
      </c>
      <c r="B439" s="48" t="s">
        <v>168</v>
      </c>
      <c r="C439" s="59" t="s">
        <v>191</v>
      </c>
      <c r="D439" s="60">
        <v>200</v>
      </c>
      <c r="E439" s="56">
        <v>3</v>
      </c>
      <c r="F439" s="56"/>
      <c r="G439" s="56">
        <f>E439+F439</f>
        <v>3</v>
      </c>
    </row>
    <row r="440" spans="1:7" ht="220.5">
      <c r="A440" s="98" t="s">
        <v>330</v>
      </c>
      <c r="B440" s="48" t="s">
        <v>168</v>
      </c>
      <c r="C440" s="128" t="s">
        <v>192</v>
      </c>
      <c r="D440" s="129"/>
      <c r="E440" s="56">
        <f>E441</f>
        <v>3</v>
      </c>
      <c r="F440" s="56">
        <f>F441</f>
        <v>0</v>
      </c>
      <c r="G440" s="56">
        <f>G441</f>
        <v>3</v>
      </c>
    </row>
    <row r="441" spans="1:7" ht="31.5">
      <c r="A441" s="62" t="s">
        <v>18</v>
      </c>
      <c r="B441" s="48" t="s">
        <v>168</v>
      </c>
      <c r="C441" s="128" t="s">
        <v>192</v>
      </c>
      <c r="D441" s="130">
        <v>200</v>
      </c>
      <c r="E441" s="56">
        <v>3</v>
      </c>
      <c r="F441" s="56"/>
      <c r="G441" s="56">
        <f>E441+F441</f>
        <v>3</v>
      </c>
    </row>
    <row r="442" spans="1:7" ht="31.5">
      <c r="A442" s="26" t="s">
        <v>63</v>
      </c>
      <c r="B442" s="48" t="s">
        <v>168</v>
      </c>
      <c r="C442" s="128" t="s">
        <v>193</v>
      </c>
      <c r="D442" s="57"/>
      <c r="E442" s="56">
        <f>E443</f>
        <v>1650</v>
      </c>
      <c r="F442" s="56">
        <f>F443</f>
        <v>0</v>
      </c>
      <c r="G442" s="56">
        <f>G443</f>
        <v>1650</v>
      </c>
    </row>
    <row r="443" spans="1:7" ht="15.75">
      <c r="A443" s="53" t="s">
        <v>61</v>
      </c>
      <c r="B443" s="48" t="s">
        <v>168</v>
      </c>
      <c r="C443" s="128" t="s">
        <v>193</v>
      </c>
      <c r="D443" s="48" t="s">
        <v>62</v>
      </c>
      <c r="E443" s="56">
        <v>1650</v>
      </c>
      <c r="F443" s="56"/>
      <c r="G443" s="56">
        <f>E443+F443</f>
        <v>1650</v>
      </c>
    </row>
    <row r="444" spans="1:7" ht="120">
      <c r="A444" s="99" t="s">
        <v>331</v>
      </c>
      <c r="B444" s="48" t="s">
        <v>168</v>
      </c>
      <c r="C444" s="128" t="s">
        <v>194</v>
      </c>
      <c r="D444" s="58"/>
      <c r="E444" s="56">
        <f>E445</f>
        <v>148.6</v>
      </c>
      <c r="F444" s="56">
        <f>F445</f>
        <v>0</v>
      </c>
      <c r="G444" s="56">
        <f>G445</f>
        <v>148.6</v>
      </c>
    </row>
    <row r="445" spans="1:9" ht="15.75">
      <c r="A445" s="53" t="s">
        <v>61</v>
      </c>
      <c r="B445" s="48" t="s">
        <v>168</v>
      </c>
      <c r="C445" s="128" t="s">
        <v>194</v>
      </c>
      <c r="D445" s="48" t="s">
        <v>62</v>
      </c>
      <c r="E445" s="56">
        <v>148.6</v>
      </c>
      <c r="F445" s="56"/>
      <c r="G445" s="56">
        <f>E445+F445</f>
        <v>148.6</v>
      </c>
      <c r="I445" s="148"/>
    </row>
    <row r="446" spans="1:7" ht="165">
      <c r="A446" s="133" t="s">
        <v>332</v>
      </c>
      <c r="B446" s="48" t="s">
        <v>168</v>
      </c>
      <c r="C446" s="128" t="s">
        <v>195</v>
      </c>
      <c r="D446" s="58"/>
      <c r="E446" s="56">
        <f>E447</f>
        <v>7</v>
      </c>
      <c r="F446" s="56">
        <f>F447</f>
        <v>0</v>
      </c>
      <c r="G446" s="56">
        <f>G447</f>
        <v>7</v>
      </c>
    </row>
    <row r="447" spans="1:7" ht="31.5">
      <c r="A447" s="53" t="s">
        <v>18</v>
      </c>
      <c r="B447" s="48" t="s">
        <v>168</v>
      </c>
      <c r="C447" s="128" t="s">
        <v>195</v>
      </c>
      <c r="D447" s="48" t="s">
        <v>13</v>
      </c>
      <c r="E447" s="56">
        <v>7</v>
      </c>
      <c r="F447" s="56"/>
      <c r="G447" s="56">
        <f>E447+F447</f>
        <v>7</v>
      </c>
    </row>
    <row r="448" spans="1:7" ht="47.25">
      <c r="A448" s="26" t="s">
        <v>169</v>
      </c>
      <c r="B448" s="48" t="s">
        <v>168</v>
      </c>
      <c r="C448" s="48" t="s">
        <v>189</v>
      </c>
      <c r="D448" s="48" t="s">
        <v>0</v>
      </c>
      <c r="E448" s="56">
        <f>E449</f>
        <v>4200</v>
      </c>
      <c r="F448" s="56">
        <f>F449</f>
        <v>0</v>
      </c>
      <c r="G448" s="56">
        <f>G449</f>
        <v>4200</v>
      </c>
    </row>
    <row r="449" spans="1:7" ht="15.75">
      <c r="A449" s="53" t="s">
        <v>61</v>
      </c>
      <c r="B449" s="48" t="s">
        <v>168</v>
      </c>
      <c r="C449" s="48" t="s">
        <v>189</v>
      </c>
      <c r="D449" s="48" t="s">
        <v>62</v>
      </c>
      <c r="E449" s="56">
        <v>4200</v>
      </c>
      <c r="F449" s="56"/>
      <c r="G449" s="56">
        <f>E449+F449</f>
        <v>4200</v>
      </c>
    </row>
    <row r="450" spans="1:7" ht="31.5">
      <c r="A450" s="97" t="s">
        <v>64</v>
      </c>
      <c r="B450" s="48" t="s">
        <v>168</v>
      </c>
      <c r="C450" s="48" t="s">
        <v>190</v>
      </c>
      <c r="D450" s="57"/>
      <c r="E450" s="56">
        <f>E451</f>
        <v>21516</v>
      </c>
      <c r="F450" s="56">
        <f>F451</f>
        <v>0</v>
      </c>
      <c r="G450" s="56">
        <f>G451</f>
        <v>21516</v>
      </c>
    </row>
    <row r="451" spans="1:7" ht="15.75">
      <c r="A451" s="53" t="s">
        <v>61</v>
      </c>
      <c r="B451" s="48" t="s">
        <v>168</v>
      </c>
      <c r="C451" s="48" t="s">
        <v>190</v>
      </c>
      <c r="D451" s="48" t="s">
        <v>62</v>
      </c>
      <c r="E451" s="56">
        <v>21516</v>
      </c>
      <c r="F451" s="56"/>
      <c r="G451" s="56">
        <f>E451+F451</f>
        <v>21516</v>
      </c>
    </row>
  </sheetData>
  <sheetProtection/>
  <mergeCells count="12">
    <mergeCell ref="A9:A10"/>
    <mergeCell ref="B9:B10"/>
    <mergeCell ref="E9:E10"/>
    <mergeCell ref="C4:G4"/>
    <mergeCell ref="A7:G7"/>
    <mergeCell ref="C9:C10"/>
    <mergeCell ref="D9:D10"/>
    <mergeCell ref="C2:G2"/>
    <mergeCell ref="C5:G5"/>
    <mergeCell ref="C1:G1"/>
    <mergeCell ref="F9:F10"/>
    <mergeCell ref="G9:G10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8"/>
  <sheetViews>
    <sheetView view="pageBreakPreview" zoomScaleSheetLayoutView="100" zoomScalePageLayoutView="0" workbookViewId="0" topLeftCell="A10">
      <selection activeCell="K13" sqref="K13"/>
    </sheetView>
  </sheetViews>
  <sheetFormatPr defaultColWidth="9.140625" defaultRowHeight="12.75"/>
  <cols>
    <col min="1" max="1" width="37.00390625" style="0" customWidth="1"/>
    <col min="2" max="2" width="6.8515625" style="0" customWidth="1"/>
    <col min="3" max="3" width="15.28125" style="0" customWidth="1"/>
    <col min="4" max="4" width="8.00390625" style="0" customWidth="1"/>
    <col min="5" max="5" width="13.57421875" style="0" customWidth="1"/>
    <col min="6" max="6" width="14.57421875" style="0" customWidth="1"/>
    <col min="7" max="7" width="15.00390625" style="0" customWidth="1"/>
    <col min="8" max="8" width="12.00390625" style="0" customWidth="1"/>
  </cols>
  <sheetData>
    <row r="1" spans="3:6" ht="31.5" customHeight="1">
      <c r="C1" s="260" t="s">
        <v>462</v>
      </c>
      <c r="D1" s="260"/>
      <c r="E1" s="260"/>
      <c r="F1" s="260"/>
    </row>
    <row r="2" spans="3:6" ht="35.25" customHeight="1">
      <c r="C2" s="264" t="s">
        <v>475</v>
      </c>
      <c r="D2" s="264"/>
      <c r="E2" s="264"/>
      <c r="F2" s="264"/>
    </row>
    <row r="3" spans="3:6" ht="12.75">
      <c r="C3" s="219"/>
      <c r="D3" s="219"/>
      <c r="E3" s="219"/>
      <c r="F3" s="219"/>
    </row>
    <row r="4" spans="1:6" ht="18.75">
      <c r="A4" s="218"/>
      <c r="B4" s="5"/>
      <c r="C4" s="270" t="s">
        <v>462</v>
      </c>
      <c r="D4" s="270"/>
      <c r="E4" s="270"/>
      <c r="F4" s="270"/>
    </row>
    <row r="5" spans="1:6" ht="32.25" customHeight="1">
      <c r="A5" s="218"/>
      <c r="B5" s="5"/>
      <c r="C5" s="264" t="s">
        <v>347</v>
      </c>
      <c r="D5" s="264"/>
      <c r="E5" s="264"/>
      <c r="F5" s="264"/>
    </row>
    <row r="6" spans="1:5" ht="18.75">
      <c r="A6" s="218"/>
      <c r="B6" s="5"/>
      <c r="C6" s="6"/>
      <c r="D6" s="6"/>
      <c r="E6" s="6"/>
    </row>
    <row r="7" spans="1:6" ht="44.25" customHeight="1">
      <c r="A7" s="265" t="s">
        <v>463</v>
      </c>
      <c r="B7" s="265"/>
      <c r="C7" s="265"/>
      <c r="D7" s="265"/>
      <c r="E7" s="265"/>
      <c r="F7" s="265"/>
    </row>
    <row r="8" spans="1:5" ht="15.75">
      <c r="A8" s="1" t="s">
        <v>0</v>
      </c>
      <c r="B8" s="1"/>
      <c r="C8" s="1" t="s">
        <v>0</v>
      </c>
      <c r="D8" s="1" t="s">
        <v>0</v>
      </c>
      <c r="E8" s="2"/>
    </row>
    <row r="9" spans="1:8" ht="15.75">
      <c r="A9" s="261" t="s">
        <v>3</v>
      </c>
      <c r="B9" s="271" t="s">
        <v>144</v>
      </c>
      <c r="C9" s="261" t="s">
        <v>1</v>
      </c>
      <c r="D9" s="261" t="s">
        <v>2</v>
      </c>
      <c r="E9" s="7" t="s">
        <v>443</v>
      </c>
      <c r="F9" s="7" t="s">
        <v>444</v>
      </c>
      <c r="G9" s="148"/>
      <c r="H9" s="148"/>
    </row>
    <row r="10" spans="1:7" ht="25.5">
      <c r="A10" s="262"/>
      <c r="B10" s="272"/>
      <c r="C10" s="262"/>
      <c r="D10" s="262"/>
      <c r="E10" s="201" t="s">
        <v>9</v>
      </c>
      <c r="F10" s="201" t="s">
        <v>9</v>
      </c>
      <c r="G10" s="219"/>
    </row>
    <row r="11" spans="1:8" ht="12.75">
      <c r="A11" s="220" t="s">
        <v>4</v>
      </c>
      <c r="B11" s="220">
        <v>2</v>
      </c>
      <c r="C11" s="220">
        <v>3</v>
      </c>
      <c r="D11" s="220">
        <v>4</v>
      </c>
      <c r="E11" s="220">
        <v>5</v>
      </c>
      <c r="F11" s="220">
        <v>6</v>
      </c>
      <c r="G11" s="148"/>
      <c r="H11" s="148"/>
    </row>
    <row r="12" spans="1:8" ht="15.75">
      <c r="A12" s="7" t="s">
        <v>8</v>
      </c>
      <c r="B12" s="7"/>
      <c r="C12" s="7" t="s">
        <v>0</v>
      </c>
      <c r="D12" s="7" t="s">
        <v>0</v>
      </c>
      <c r="E12" s="8">
        <f>E13+E23+E180+E208+E226+E261</f>
        <v>1580948.4</v>
      </c>
      <c r="F12" s="8">
        <f>F13+F23+F180+F208+F226+F261</f>
        <v>1494132.9</v>
      </c>
      <c r="G12" s="148"/>
      <c r="H12" s="148"/>
    </row>
    <row r="13" spans="1:8" ht="31.5">
      <c r="A13" s="102" t="s">
        <v>464</v>
      </c>
      <c r="B13" s="38" t="s">
        <v>146</v>
      </c>
      <c r="C13" s="35"/>
      <c r="D13" s="35"/>
      <c r="E13" s="36">
        <f>E14</f>
        <v>4000</v>
      </c>
      <c r="F13" s="36">
        <f>F14</f>
        <v>4000</v>
      </c>
      <c r="G13" s="148"/>
      <c r="H13" s="148"/>
    </row>
    <row r="14" spans="1:11" ht="31.5">
      <c r="A14" s="103" t="s">
        <v>43</v>
      </c>
      <c r="B14" s="104" t="s">
        <v>146</v>
      </c>
      <c r="C14" s="105" t="s">
        <v>188</v>
      </c>
      <c r="D14" s="105" t="s">
        <v>0</v>
      </c>
      <c r="E14" s="106">
        <f>E15+E17+E19</f>
        <v>4000</v>
      </c>
      <c r="F14" s="106">
        <f>F15+F17+F19</f>
        <v>4000</v>
      </c>
      <c r="G14" s="148"/>
      <c r="H14" s="148"/>
      <c r="J14" s="148"/>
      <c r="K14" s="148"/>
    </row>
    <row r="15" spans="1:6" ht="47.25">
      <c r="A15" s="27" t="s">
        <v>147</v>
      </c>
      <c r="B15" s="25" t="s">
        <v>146</v>
      </c>
      <c r="C15" s="48" t="s">
        <v>200</v>
      </c>
      <c r="D15" s="25"/>
      <c r="E15" s="49">
        <f>E16</f>
        <v>1116.4</v>
      </c>
      <c r="F15" s="49">
        <f>F16</f>
        <v>1116.4</v>
      </c>
    </row>
    <row r="16" spans="1:6" ht="126">
      <c r="A16" s="63" t="s">
        <v>20</v>
      </c>
      <c r="B16" s="25" t="s">
        <v>146</v>
      </c>
      <c r="C16" s="48" t="s">
        <v>200</v>
      </c>
      <c r="D16" s="25" t="s">
        <v>21</v>
      </c>
      <c r="E16" s="49">
        <f>1113.4+3</f>
        <v>1116.4</v>
      </c>
      <c r="F16" s="49">
        <f>1113.4+3</f>
        <v>1116.4</v>
      </c>
    </row>
    <row r="17" spans="1:6" ht="63">
      <c r="A17" s="63" t="s">
        <v>44</v>
      </c>
      <c r="B17" s="25" t="s">
        <v>146</v>
      </c>
      <c r="C17" s="48" t="s">
        <v>201</v>
      </c>
      <c r="D17" s="48" t="s">
        <v>0</v>
      </c>
      <c r="E17" s="49">
        <f>E18</f>
        <v>500</v>
      </c>
      <c r="F17" s="49">
        <f>F18</f>
        <v>500</v>
      </c>
    </row>
    <row r="18" spans="1:6" ht="47.25">
      <c r="A18" s="51" t="s">
        <v>18</v>
      </c>
      <c r="B18" s="25" t="s">
        <v>146</v>
      </c>
      <c r="C18" s="48" t="s">
        <v>201</v>
      </c>
      <c r="D18" s="48" t="s">
        <v>13</v>
      </c>
      <c r="E18" s="49">
        <v>500</v>
      </c>
      <c r="F18" s="49">
        <v>500</v>
      </c>
    </row>
    <row r="19" spans="1:6" ht="47.25">
      <c r="A19" s="63" t="s">
        <v>45</v>
      </c>
      <c r="B19" s="25" t="s">
        <v>146</v>
      </c>
      <c r="C19" s="48" t="s">
        <v>199</v>
      </c>
      <c r="D19" s="48" t="s">
        <v>0</v>
      </c>
      <c r="E19" s="49">
        <f>E20+E21+E22</f>
        <v>2383.6</v>
      </c>
      <c r="F19" s="49">
        <f>F20+F21+F22</f>
        <v>2383.6</v>
      </c>
    </row>
    <row r="20" spans="1:6" ht="126">
      <c r="A20" s="63" t="s">
        <v>20</v>
      </c>
      <c r="B20" s="25" t="s">
        <v>146</v>
      </c>
      <c r="C20" s="48" t="s">
        <v>199</v>
      </c>
      <c r="D20" s="48" t="s">
        <v>21</v>
      </c>
      <c r="E20" s="49">
        <f>2145.5+9</f>
        <v>2154.5</v>
      </c>
      <c r="F20" s="49">
        <f>2145.5+9</f>
        <v>2154.5</v>
      </c>
    </row>
    <row r="21" spans="1:6" ht="47.25">
      <c r="A21" s="51" t="s">
        <v>18</v>
      </c>
      <c r="B21" s="25" t="s">
        <v>146</v>
      </c>
      <c r="C21" s="48" t="s">
        <v>199</v>
      </c>
      <c r="D21" s="25" t="s">
        <v>13</v>
      </c>
      <c r="E21" s="49">
        <f>241.1-2.4-12</f>
        <v>226.7</v>
      </c>
      <c r="F21" s="49">
        <f>241.1-2.4-12</f>
        <v>226.7</v>
      </c>
    </row>
    <row r="22" spans="1:6" ht="15.75">
      <c r="A22" s="51" t="s">
        <v>14</v>
      </c>
      <c r="B22" s="25" t="s">
        <v>146</v>
      </c>
      <c r="C22" s="48" t="s">
        <v>199</v>
      </c>
      <c r="D22" s="25" t="s">
        <v>17</v>
      </c>
      <c r="E22" s="49">
        <v>2.4</v>
      </c>
      <c r="F22" s="49">
        <v>2.4</v>
      </c>
    </row>
    <row r="23" spans="1:8" ht="31.5">
      <c r="A23" s="107" t="s">
        <v>170</v>
      </c>
      <c r="B23" s="38" t="s">
        <v>148</v>
      </c>
      <c r="C23" s="108"/>
      <c r="D23" s="109"/>
      <c r="E23" s="39">
        <f>E24+E32+E38+E86+E99+E140+E155+E173+E78</f>
        <v>358895.1</v>
      </c>
      <c r="F23" s="39">
        <f>F24+F32+F38+F86+F99+F140+F155+F173+F78</f>
        <v>267739.8</v>
      </c>
      <c r="G23" s="148"/>
      <c r="H23" s="148"/>
    </row>
    <row r="24" spans="1:8" ht="47.25">
      <c r="A24" s="110" t="s">
        <v>95</v>
      </c>
      <c r="B24" s="105" t="s">
        <v>148</v>
      </c>
      <c r="C24" s="104" t="s">
        <v>182</v>
      </c>
      <c r="D24" s="104" t="s">
        <v>0</v>
      </c>
      <c r="E24" s="111">
        <f>E25</f>
        <v>1987.7</v>
      </c>
      <c r="F24" s="111">
        <f>F25</f>
        <v>1987.7</v>
      </c>
      <c r="G24" s="148"/>
      <c r="H24" s="148"/>
    </row>
    <row r="25" spans="1:6" ht="63">
      <c r="A25" s="15" t="s">
        <v>96</v>
      </c>
      <c r="B25" s="112" t="s">
        <v>148</v>
      </c>
      <c r="C25" s="13" t="s">
        <v>183</v>
      </c>
      <c r="D25" s="13" t="s">
        <v>0</v>
      </c>
      <c r="E25" s="14">
        <f>E26+E28+E30</f>
        <v>1987.7</v>
      </c>
      <c r="F25" s="14">
        <f>F26+F28+F30</f>
        <v>1987.7</v>
      </c>
    </row>
    <row r="26" spans="1:7" ht="47.25">
      <c r="A26" s="16" t="s">
        <v>11</v>
      </c>
      <c r="B26" s="32" t="s">
        <v>148</v>
      </c>
      <c r="C26" s="17" t="s">
        <v>184</v>
      </c>
      <c r="D26" s="17"/>
      <c r="E26" s="10">
        <f>E27</f>
        <v>180</v>
      </c>
      <c r="F26" s="10">
        <f>F27</f>
        <v>180</v>
      </c>
      <c r="G26" s="221"/>
    </row>
    <row r="27" spans="1:7" ht="47.25">
      <c r="A27" s="86" t="s">
        <v>18</v>
      </c>
      <c r="B27" s="48" t="s">
        <v>148</v>
      </c>
      <c r="C27" s="17" t="s">
        <v>184</v>
      </c>
      <c r="D27" s="48" t="s">
        <v>13</v>
      </c>
      <c r="E27" s="49">
        <v>180</v>
      </c>
      <c r="F27" s="49">
        <v>180</v>
      </c>
      <c r="G27" s="222"/>
    </row>
    <row r="28" spans="1:7" ht="47.25">
      <c r="A28" s="16" t="s">
        <v>445</v>
      </c>
      <c r="B28" s="32" t="s">
        <v>148</v>
      </c>
      <c r="C28" s="17" t="s">
        <v>446</v>
      </c>
      <c r="D28" s="17"/>
      <c r="E28" s="10">
        <f>E29</f>
        <v>677.7</v>
      </c>
      <c r="F28" s="10">
        <f>F29</f>
        <v>677.7</v>
      </c>
      <c r="G28" s="222"/>
    </row>
    <row r="29" spans="1:7" ht="47.25">
      <c r="A29" s="86" t="s">
        <v>18</v>
      </c>
      <c r="B29" s="32" t="s">
        <v>148</v>
      </c>
      <c r="C29" s="17" t="s">
        <v>446</v>
      </c>
      <c r="D29" s="17" t="s">
        <v>13</v>
      </c>
      <c r="E29" s="49">
        <f>677.7</f>
        <v>677.7</v>
      </c>
      <c r="F29" s="49">
        <f>677.7</f>
        <v>677.7</v>
      </c>
      <c r="G29" s="222"/>
    </row>
    <row r="30" spans="1:7" ht="47.25">
      <c r="A30" s="46" t="s">
        <v>12</v>
      </c>
      <c r="B30" s="48" t="s">
        <v>148</v>
      </c>
      <c r="C30" s="17" t="s">
        <v>185</v>
      </c>
      <c r="D30" s="48"/>
      <c r="E30" s="24">
        <f>E31</f>
        <v>1130</v>
      </c>
      <c r="F30" s="24">
        <f>F31</f>
        <v>1130</v>
      </c>
      <c r="G30" s="221"/>
    </row>
    <row r="31" spans="1:7" ht="15.75">
      <c r="A31" s="86" t="s">
        <v>14</v>
      </c>
      <c r="B31" s="48" t="s">
        <v>148</v>
      </c>
      <c r="C31" s="17" t="s">
        <v>185</v>
      </c>
      <c r="D31" s="48" t="s">
        <v>17</v>
      </c>
      <c r="E31" s="49">
        <v>1130</v>
      </c>
      <c r="F31" s="49">
        <v>1130</v>
      </c>
      <c r="G31" s="222"/>
    </row>
    <row r="32" spans="1:7" ht="63">
      <c r="A32" s="110" t="s">
        <v>97</v>
      </c>
      <c r="B32" s="105" t="s">
        <v>148</v>
      </c>
      <c r="C32" s="104" t="s">
        <v>266</v>
      </c>
      <c r="D32" s="104" t="s">
        <v>0</v>
      </c>
      <c r="E32" s="111">
        <f>E33</f>
        <v>140</v>
      </c>
      <c r="F32" s="111">
        <f>F33</f>
        <v>140</v>
      </c>
      <c r="G32" s="221"/>
    </row>
    <row r="33" spans="1:7" ht="63">
      <c r="A33" s="12" t="s">
        <v>116</v>
      </c>
      <c r="B33" s="112" t="s">
        <v>148</v>
      </c>
      <c r="C33" s="13" t="s">
        <v>267</v>
      </c>
      <c r="D33" s="13" t="s">
        <v>0</v>
      </c>
      <c r="E33" s="14">
        <f>+E34+E36</f>
        <v>140</v>
      </c>
      <c r="F33" s="14">
        <f>+F34+F36</f>
        <v>140</v>
      </c>
      <c r="G33" s="221"/>
    </row>
    <row r="34" spans="1:7" ht="31.5">
      <c r="A34" s="16" t="s">
        <v>31</v>
      </c>
      <c r="B34" s="32" t="s">
        <v>148</v>
      </c>
      <c r="C34" s="9" t="s">
        <v>268</v>
      </c>
      <c r="D34" s="17"/>
      <c r="E34" s="10">
        <f>E35</f>
        <v>120</v>
      </c>
      <c r="F34" s="10">
        <f>F35</f>
        <v>120</v>
      </c>
      <c r="G34" s="221"/>
    </row>
    <row r="35" spans="1:7" ht="47.25">
      <c r="A35" s="86" t="s">
        <v>18</v>
      </c>
      <c r="B35" s="48" t="s">
        <v>148</v>
      </c>
      <c r="C35" s="9" t="s">
        <v>268</v>
      </c>
      <c r="D35" s="48" t="s">
        <v>13</v>
      </c>
      <c r="E35" s="49">
        <v>120</v>
      </c>
      <c r="F35" s="49">
        <v>120</v>
      </c>
      <c r="G35" s="222"/>
    </row>
    <row r="36" spans="1:7" ht="94.5">
      <c r="A36" s="16" t="s">
        <v>32</v>
      </c>
      <c r="B36" s="32" t="s">
        <v>148</v>
      </c>
      <c r="C36" s="9" t="s">
        <v>269</v>
      </c>
      <c r="D36" s="17"/>
      <c r="E36" s="10">
        <f>E37</f>
        <v>20</v>
      </c>
      <c r="F36" s="10">
        <f>F37</f>
        <v>20</v>
      </c>
      <c r="G36" s="221"/>
    </row>
    <row r="37" spans="1:7" ht="15.75">
      <c r="A37" s="86" t="s">
        <v>14</v>
      </c>
      <c r="B37" s="48" t="s">
        <v>148</v>
      </c>
      <c r="C37" s="9" t="s">
        <v>269</v>
      </c>
      <c r="D37" s="48" t="s">
        <v>17</v>
      </c>
      <c r="E37" s="49">
        <v>20</v>
      </c>
      <c r="F37" s="49">
        <v>20</v>
      </c>
      <c r="G37" s="222"/>
    </row>
    <row r="38" spans="1:8" ht="63">
      <c r="A38" s="223" t="s">
        <v>98</v>
      </c>
      <c r="B38" s="105" t="s">
        <v>148</v>
      </c>
      <c r="C38" s="105" t="s">
        <v>306</v>
      </c>
      <c r="D38" s="105" t="s">
        <v>0</v>
      </c>
      <c r="E38" s="111">
        <f>E39+E50+E57+E75</f>
        <v>135272.5</v>
      </c>
      <c r="F38" s="111">
        <f>F39+F50+F57+F75</f>
        <v>58326.9</v>
      </c>
      <c r="G38" s="221"/>
      <c r="H38" s="148"/>
    </row>
    <row r="39" spans="1:11" ht="63">
      <c r="A39" s="15" t="s">
        <v>465</v>
      </c>
      <c r="B39" s="112" t="s">
        <v>148</v>
      </c>
      <c r="C39" s="224" t="s">
        <v>307</v>
      </c>
      <c r="D39" s="224" t="s">
        <v>0</v>
      </c>
      <c r="E39" s="14">
        <f>E40+E42+E44+E46+E48</f>
        <v>31881.6</v>
      </c>
      <c r="F39" s="14">
        <f>F40+F42+F44+F46+F48</f>
        <v>32589.5</v>
      </c>
      <c r="G39" s="221"/>
      <c r="K39" s="148"/>
    </row>
    <row r="40" spans="1:7" ht="46.5" customHeight="1">
      <c r="A40" s="16" t="s">
        <v>89</v>
      </c>
      <c r="B40" s="32" t="s">
        <v>148</v>
      </c>
      <c r="C40" s="48" t="s">
        <v>308</v>
      </c>
      <c r="D40" s="17"/>
      <c r="E40" s="24">
        <f>E41</f>
        <v>3723</v>
      </c>
      <c r="F40" s="24">
        <f>F41</f>
        <v>3723</v>
      </c>
      <c r="G40" s="221"/>
    </row>
    <row r="41" spans="1:7" ht="47.25">
      <c r="A41" s="86" t="s">
        <v>18</v>
      </c>
      <c r="B41" s="48" t="s">
        <v>148</v>
      </c>
      <c r="C41" s="48" t="s">
        <v>308</v>
      </c>
      <c r="D41" s="48" t="s">
        <v>13</v>
      </c>
      <c r="E41" s="49">
        <v>3723</v>
      </c>
      <c r="F41" s="49">
        <v>3723</v>
      </c>
      <c r="G41" s="222"/>
    </row>
    <row r="42" spans="1:7" ht="47.25">
      <c r="A42" s="51" t="s">
        <v>99</v>
      </c>
      <c r="B42" s="48" t="s">
        <v>148</v>
      </c>
      <c r="C42" s="48" t="s">
        <v>346</v>
      </c>
      <c r="D42" s="48"/>
      <c r="E42" s="49">
        <f>E43</f>
        <v>2000</v>
      </c>
      <c r="F42" s="49">
        <f>F43</f>
        <v>2000</v>
      </c>
      <c r="G42" s="225"/>
    </row>
    <row r="43" spans="1:7" ht="15.75">
      <c r="A43" s="51" t="s">
        <v>14</v>
      </c>
      <c r="B43" s="48" t="s">
        <v>148</v>
      </c>
      <c r="C43" s="48" t="s">
        <v>346</v>
      </c>
      <c r="D43" s="48" t="s">
        <v>17</v>
      </c>
      <c r="E43" s="49">
        <v>2000</v>
      </c>
      <c r="F43" s="49">
        <v>2000</v>
      </c>
      <c r="G43" s="222"/>
    </row>
    <row r="44" spans="1:7" ht="63">
      <c r="A44" s="65" t="s">
        <v>67</v>
      </c>
      <c r="B44" s="48" t="s">
        <v>148</v>
      </c>
      <c r="C44" s="48" t="s">
        <v>310</v>
      </c>
      <c r="D44" s="48"/>
      <c r="E44" s="24">
        <f>E45</f>
        <v>20180.6</v>
      </c>
      <c r="F44" s="24">
        <f>F45</f>
        <v>19941</v>
      </c>
      <c r="G44" s="221"/>
    </row>
    <row r="45" spans="1:7" ht="47.25">
      <c r="A45" s="86" t="s">
        <v>18</v>
      </c>
      <c r="B45" s="48" t="s">
        <v>148</v>
      </c>
      <c r="C45" s="48" t="s">
        <v>310</v>
      </c>
      <c r="D45" s="48" t="s">
        <v>13</v>
      </c>
      <c r="E45" s="49">
        <f>20000-130.9-330-1150-1208.5+3000</f>
        <v>20180.6</v>
      </c>
      <c r="F45" s="49">
        <f>20000-130.9-330-1150-1448.1+3000</f>
        <v>19941</v>
      </c>
      <c r="G45" s="222"/>
    </row>
    <row r="46" spans="1:8" ht="126">
      <c r="A46" s="46" t="s">
        <v>379</v>
      </c>
      <c r="B46" s="48" t="s">
        <v>148</v>
      </c>
      <c r="C46" s="48" t="s">
        <v>466</v>
      </c>
      <c r="D46" s="72"/>
      <c r="E46" s="24">
        <f>E47</f>
        <v>478</v>
      </c>
      <c r="F46" s="24">
        <f>F47</f>
        <v>425.5</v>
      </c>
      <c r="G46" s="221"/>
      <c r="H46" s="226"/>
    </row>
    <row r="47" spans="1:7" ht="47.25">
      <c r="A47" s="51" t="s">
        <v>18</v>
      </c>
      <c r="B47" s="48" t="s">
        <v>148</v>
      </c>
      <c r="C47" s="48" t="s">
        <v>466</v>
      </c>
      <c r="D47" s="48" t="s">
        <v>13</v>
      </c>
      <c r="E47" s="49">
        <f>536.9-58.9</f>
        <v>478</v>
      </c>
      <c r="F47" s="49">
        <f>484.4-58.9</f>
        <v>425.5</v>
      </c>
      <c r="G47" s="222"/>
    </row>
    <row r="48" spans="1:7" ht="78.75">
      <c r="A48" s="46" t="s">
        <v>109</v>
      </c>
      <c r="B48" s="48" t="s">
        <v>148</v>
      </c>
      <c r="C48" s="48" t="s">
        <v>321</v>
      </c>
      <c r="D48" s="71"/>
      <c r="E48" s="24">
        <f>E49</f>
        <v>5500</v>
      </c>
      <c r="F48" s="24">
        <f>F49</f>
        <v>6500</v>
      </c>
      <c r="G48" s="221"/>
    </row>
    <row r="49" spans="1:7" ht="15.75">
      <c r="A49" s="86" t="s">
        <v>14</v>
      </c>
      <c r="B49" s="48" t="s">
        <v>148</v>
      </c>
      <c r="C49" s="48" t="s">
        <v>321</v>
      </c>
      <c r="D49" s="25" t="s">
        <v>17</v>
      </c>
      <c r="E49" s="49">
        <v>5500</v>
      </c>
      <c r="F49" s="49">
        <v>6500</v>
      </c>
      <c r="G49" s="222"/>
    </row>
    <row r="50" spans="1:7" ht="63">
      <c r="A50" s="12" t="s">
        <v>149</v>
      </c>
      <c r="B50" s="112" t="s">
        <v>148</v>
      </c>
      <c r="C50" s="13" t="s">
        <v>311</v>
      </c>
      <c r="D50" s="13" t="s">
        <v>0</v>
      </c>
      <c r="E50" s="14">
        <f>E55+E53+E51</f>
        <v>77893.1</v>
      </c>
      <c r="F50" s="14">
        <f>F55+F53</f>
        <v>0</v>
      </c>
      <c r="G50" s="221"/>
    </row>
    <row r="51" spans="1:7" ht="110.25">
      <c r="A51" s="27" t="s">
        <v>352</v>
      </c>
      <c r="B51" s="48" t="s">
        <v>148</v>
      </c>
      <c r="C51" s="48" t="s">
        <v>351</v>
      </c>
      <c r="D51" s="25"/>
      <c r="E51" s="24">
        <f>E52</f>
        <v>39397.1</v>
      </c>
      <c r="F51" s="24">
        <f>F52</f>
        <v>0</v>
      </c>
      <c r="G51" s="221"/>
    </row>
    <row r="52" spans="1:7" ht="63">
      <c r="A52" s="27" t="s">
        <v>40</v>
      </c>
      <c r="B52" s="48" t="s">
        <v>148</v>
      </c>
      <c r="C52" s="48" t="s">
        <v>351</v>
      </c>
      <c r="D52" s="25" t="s">
        <v>35</v>
      </c>
      <c r="E52" s="24">
        <v>39397.1</v>
      </c>
      <c r="F52" s="24">
        <v>0</v>
      </c>
      <c r="G52" s="221"/>
    </row>
    <row r="53" spans="1:7" ht="110.25">
      <c r="A53" s="46" t="s">
        <v>352</v>
      </c>
      <c r="B53" s="48" t="s">
        <v>148</v>
      </c>
      <c r="C53" s="48" t="s">
        <v>328</v>
      </c>
      <c r="D53" s="48"/>
      <c r="E53" s="49">
        <f>E54</f>
        <v>32396.3</v>
      </c>
      <c r="F53" s="49">
        <f>F54</f>
        <v>0</v>
      </c>
      <c r="G53" s="221"/>
    </row>
    <row r="54" spans="1:7" ht="63">
      <c r="A54" s="46" t="s">
        <v>40</v>
      </c>
      <c r="B54" s="48" t="s">
        <v>148</v>
      </c>
      <c r="C54" s="48" t="s">
        <v>328</v>
      </c>
      <c r="D54" s="48" t="s">
        <v>35</v>
      </c>
      <c r="E54" s="49">
        <v>32396.3</v>
      </c>
      <c r="F54" s="49">
        <v>0</v>
      </c>
      <c r="G54" s="221"/>
    </row>
    <row r="55" spans="1:7" ht="126">
      <c r="A55" s="157" t="s">
        <v>327</v>
      </c>
      <c r="B55" s="48" t="s">
        <v>148</v>
      </c>
      <c r="C55" s="48" t="s">
        <v>345</v>
      </c>
      <c r="D55" s="48"/>
      <c r="E55" s="49">
        <f>E56</f>
        <v>6099.7</v>
      </c>
      <c r="F55" s="24">
        <f>F56</f>
        <v>0</v>
      </c>
      <c r="G55" s="225"/>
    </row>
    <row r="56" spans="1:7" ht="63">
      <c r="A56" s="26" t="s">
        <v>40</v>
      </c>
      <c r="B56" s="48" t="s">
        <v>148</v>
      </c>
      <c r="C56" s="48" t="s">
        <v>345</v>
      </c>
      <c r="D56" s="48" t="s">
        <v>35</v>
      </c>
      <c r="E56" s="49">
        <v>6099.7</v>
      </c>
      <c r="F56" s="49">
        <v>0</v>
      </c>
      <c r="G56" s="222"/>
    </row>
    <row r="57" spans="1:7" ht="31.5">
      <c r="A57" s="12" t="s">
        <v>91</v>
      </c>
      <c r="B57" s="112" t="s">
        <v>148</v>
      </c>
      <c r="C57" s="13" t="s">
        <v>312</v>
      </c>
      <c r="D57" s="13" t="s">
        <v>0</v>
      </c>
      <c r="E57" s="14">
        <f>E58+E60+E62+E66+E68+E71+E73+E64</f>
        <v>25347.8</v>
      </c>
      <c r="F57" s="14">
        <f>F58+F60+F62+F66+F68+F71+F73+F64</f>
        <v>25587.4</v>
      </c>
      <c r="G57" s="221"/>
    </row>
    <row r="58" spans="1:7" ht="63">
      <c r="A58" s="16" t="s">
        <v>54</v>
      </c>
      <c r="B58" s="48" t="s">
        <v>148</v>
      </c>
      <c r="C58" s="48" t="s">
        <v>313</v>
      </c>
      <c r="D58" s="71"/>
      <c r="E58" s="49">
        <f>E59</f>
        <v>982.1</v>
      </c>
      <c r="F58" s="49">
        <f>F59</f>
        <v>982.1</v>
      </c>
      <c r="G58" s="221"/>
    </row>
    <row r="59" spans="1:7" ht="47.25">
      <c r="A59" s="86" t="s">
        <v>18</v>
      </c>
      <c r="B59" s="48" t="s">
        <v>148</v>
      </c>
      <c r="C59" s="48" t="s">
        <v>313</v>
      </c>
      <c r="D59" s="25" t="s">
        <v>13</v>
      </c>
      <c r="E59" s="49">
        <f>921.4+60.7</f>
        <v>982.1</v>
      </c>
      <c r="F59" s="49">
        <f>921.4+60.7</f>
        <v>982.1</v>
      </c>
      <c r="G59" s="221"/>
    </row>
    <row r="60" spans="1:7" ht="63">
      <c r="A60" s="16" t="s">
        <v>54</v>
      </c>
      <c r="B60" s="48" t="s">
        <v>148</v>
      </c>
      <c r="C60" s="9" t="s">
        <v>336</v>
      </c>
      <c r="D60" s="9"/>
      <c r="E60" s="19">
        <f>E61</f>
        <v>520.9</v>
      </c>
      <c r="F60" s="19">
        <f>F61</f>
        <v>520.9</v>
      </c>
      <c r="G60" s="221"/>
    </row>
    <row r="61" spans="1:7" ht="47.25">
      <c r="A61" s="86" t="s">
        <v>18</v>
      </c>
      <c r="B61" s="48" t="s">
        <v>148</v>
      </c>
      <c r="C61" s="9" t="s">
        <v>336</v>
      </c>
      <c r="D61" s="25" t="s">
        <v>13</v>
      </c>
      <c r="E61" s="49">
        <v>520.9</v>
      </c>
      <c r="F61" s="49">
        <v>520.9</v>
      </c>
      <c r="G61" s="222"/>
    </row>
    <row r="62" spans="1:7" ht="78.75">
      <c r="A62" s="46" t="s">
        <v>467</v>
      </c>
      <c r="B62" s="48" t="s">
        <v>148</v>
      </c>
      <c r="C62" s="25" t="s">
        <v>324</v>
      </c>
      <c r="D62" s="71"/>
      <c r="E62" s="56">
        <f>E63</f>
        <v>2582.2</v>
      </c>
      <c r="F62" s="56">
        <f>F63</f>
        <v>2582.2</v>
      </c>
      <c r="G62" s="222"/>
    </row>
    <row r="63" spans="1:7" ht="47.25">
      <c r="A63" s="227" t="s">
        <v>18</v>
      </c>
      <c r="B63" s="48" t="s">
        <v>148</v>
      </c>
      <c r="C63" s="25" t="s">
        <v>324</v>
      </c>
      <c r="D63" s="25" t="s">
        <v>13</v>
      </c>
      <c r="E63" s="49">
        <v>2582.2</v>
      </c>
      <c r="F63" s="49">
        <v>2582.2</v>
      </c>
      <c r="G63" s="222"/>
    </row>
    <row r="64" spans="1:7" ht="47.25">
      <c r="A64" s="46" t="s">
        <v>55</v>
      </c>
      <c r="B64" s="48" t="s">
        <v>148</v>
      </c>
      <c r="C64" s="25" t="s">
        <v>314</v>
      </c>
      <c r="D64" s="25"/>
      <c r="E64" s="49">
        <f>E65</f>
        <v>130.9</v>
      </c>
      <c r="F64" s="49">
        <f>F65</f>
        <v>130.9</v>
      </c>
      <c r="G64" s="222"/>
    </row>
    <row r="65" spans="1:7" ht="47.25">
      <c r="A65" s="86" t="s">
        <v>18</v>
      </c>
      <c r="B65" s="48" t="s">
        <v>148</v>
      </c>
      <c r="C65" s="25" t="s">
        <v>314</v>
      </c>
      <c r="D65" s="25" t="s">
        <v>13</v>
      </c>
      <c r="E65" s="49">
        <v>130.9</v>
      </c>
      <c r="F65" s="49">
        <v>130.9</v>
      </c>
      <c r="G65" s="222"/>
    </row>
    <row r="66" spans="1:7" ht="47.25">
      <c r="A66" s="46" t="s">
        <v>55</v>
      </c>
      <c r="B66" s="48" t="s">
        <v>148</v>
      </c>
      <c r="C66" s="9" t="s">
        <v>337</v>
      </c>
      <c r="D66" s="72"/>
      <c r="E66" s="49">
        <f>E67</f>
        <v>295.9</v>
      </c>
      <c r="F66" s="49">
        <f>F67</f>
        <v>295.9</v>
      </c>
      <c r="G66" s="221"/>
    </row>
    <row r="67" spans="1:7" ht="47.25">
      <c r="A67" s="86" t="s">
        <v>18</v>
      </c>
      <c r="B67" s="48" t="s">
        <v>148</v>
      </c>
      <c r="C67" s="9" t="s">
        <v>337</v>
      </c>
      <c r="D67" s="25" t="s">
        <v>13</v>
      </c>
      <c r="E67" s="49">
        <f>487.5-60.7-130.9</f>
        <v>295.9</v>
      </c>
      <c r="F67" s="49">
        <f>487.5-60.7-130.9</f>
        <v>295.9</v>
      </c>
      <c r="G67" s="222"/>
    </row>
    <row r="68" spans="1:7" ht="47.25">
      <c r="A68" s="16" t="s">
        <v>55</v>
      </c>
      <c r="B68" s="32" t="s">
        <v>148</v>
      </c>
      <c r="C68" s="25" t="s">
        <v>323</v>
      </c>
      <c r="D68" s="9"/>
      <c r="E68" s="74">
        <f>E69+E70</f>
        <v>14819.8</v>
      </c>
      <c r="F68" s="74">
        <f>F69+F70</f>
        <v>14819.8</v>
      </c>
      <c r="G68" s="222"/>
    </row>
    <row r="69" spans="1:7" ht="47.25">
      <c r="A69" s="86" t="s">
        <v>18</v>
      </c>
      <c r="B69" s="48" t="s">
        <v>148</v>
      </c>
      <c r="C69" s="25" t="s">
        <v>323</v>
      </c>
      <c r="D69" s="25" t="s">
        <v>13</v>
      </c>
      <c r="E69" s="49">
        <v>12955.3</v>
      </c>
      <c r="F69" s="49">
        <v>12955.3</v>
      </c>
      <c r="G69" s="222"/>
    </row>
    <row r="70" spans="1:7" ht="15.75">
      <c r="A70" s="53" t="s">
        <v>61</v>
      </c>
      <c r="B70" s="48" t="s">
        <v>148</v>
      </c>
      <c r="C70" s="25" t="s">
        <v>323</v>
      </c>
      <c r="D70" s="25" t="s">
        <v>62</v>
      </c>
      <c r="E70" s="49">
        <v>1864.5</v>
      </c>
      <c r="F70" s="49">
        <v>1864.5</v>
      </c>
      <c r="G70" s="222"/>
    </row>
    <row r="71" spans="1:7" ht="47.25">
      <c r="A71" s="46" t="s">
        <v>56</v>
      </c>
      <c r="B71" s="48" t="s">
        <v>148</v>
      </c>
      <c r="C71" s="9" t="s">
        <v>315</v>
      </c>
      <c r="D71" s="72"/>
      <c r="E71" s="49">
        <f>E72</f>
        <v>5686</v>
      </c>
      <c r="F71" s="49">
        <f>F72</f>
        <v>5925.6</v>
      </c>
      <c r="G71" s="221"/>
    </row>
    <row r="72" spans="1:7" ht="47.25">
      <c r="A72" s="86" t="s">
        <v>18</v>
      </c>
      <c r="B72" s="48" t="s">
        <v>148</v>
      </c>
      <c r="C72" s="9" t="s">
        <v>315</v>
      </c>
      <c r="D72" s="25" t="s">
        <v>13</v>
      </c>
      <c r="E72" s="49">
        <f>6064.5-378.5</f>
        <v>5686</v>
      </c>
      <c r="F72" s="49">
        <f>6304.1-378.5</f>
        <v>5925.6</v>
      </c>
      <c r="G72" s="222"/>
    </row>
    <row r="73" spans="1:7" ht="126">
      <c r="A73" s="46" t="s">
        <v>57</v>
      </c>
      <c r="B73" s="48" t="s">
        <v>148</v>
      </c>
      <c r="C73" s="9" t="s">
        <v>338</v>
      </c>
      <c r="D73" s="72"/>
      <c r="E73" s="49">
        <f>E74</f>
        <v>330</v>
      </c>
      <c r="F73" s="49">
        <f>F74</f>
        <v>330</v>
      </c>
      <c r="G73" s="221"/>
    </row>
    <row r="74" spans="1:7" ht="15.75">
      <c r="A74" s="86" t="s">
        <v>14</v>
      </c>
      <c r="B74" s="48" t="s">
        <v>148</v>
      </c>
      <c r="C74" s="9" t="s">
        <v>338</v>
      </c>
      <c r="D74" s="25" t="s">
        <v>17</v>
      </c>
      <c r="E74" s="49">
        <v>330</v>
      </c>
      <c r="F74" s="49">
        <v>330</v>
      </c>
      <c r="G74" s="222"/>
    </row>
    <row r="75" spans="1:7" ht="63">
      <c r="A75" s="15" t="s">
        <v>92</v>
      </c>
      <c r="B75" s="112" t="s">
        <v>148</v>
      </c>
      <c r="C75" s="13" t="s">
        <v>316</v>
      </c>
      <c r="D75" s="13" t="s">
        <v>0</v>
      </c>
      <c r="E75" s="14">
        <f>E76</f>
        <v>150</v>
      </c>
      <c r="F75" s="14">
        <f>F76</f>
        <v>150</v>
      </c>
      <c r="G75" s="221"/>
    </row>
    <row r="76" spans="1:7" ht="47.25">
      <c r="A76" s="46" t="s">
        <v>68</v>
      </c>
      <c r="B76" s="48" t="s">
        <v>148</v>
      </c>
      <c r="C76" s="40" t="s">
        <v>319</v>
      </c>
      <c r="D76" s="25"/>
      <c r="E76" s="24">
        <f>E77</f>
        <v>150</v>
      </c>
      <c r="F76" s="24">
        <f>F77</f>
        <v>150</v>
      </c>
      <c r="G76" s="222"/>
    </row>
    <row r="77" spans="1:7" ht="47.25">
      <c r="A77" s="86" t="s">
        <v>18</v>
      </c>
      <c r="B77" s="48" t="s">
        <v>148</v>
      </c>
      <c r="C77" s="40" t="s">
        <v>319</v>
      </c>
      <c r="D77" s="25" t="s">
        <v>13</v>
      </c>
      <c r="E77" s="49">
        <v>150</v>
      </c>
      <c r="F77" s="49">
        <v>150</v>
      </c>
      <c r="G77" s="221"/>
    </row>
    <row r="78" spans="1:7" ht="47.25">
      <c r="A78" s="110" t="s">
        <v>118</v>
      </c>
      <c r="B78" s="105" t="s">
        <v>148</v>
      </c>
      <c r="C78" s="104" t="s">
        <v>205</v>
      </c>
      <c r="D78" s="104" t="s">
        <v>0</v>
      </c>
      <c r="E78" s="126">
        <f>E79</f>
        <v>1150</v>
      </c>
      <c r="F78" s="126">
        <f>F79</f>
        <v>1150</v>
      </c>
      <c r="G78" s="221"/>
    </row>
    <row r="79" spans="1:7" ht="31.5">
      <c r="A79" s="12" t="s">
        <v>120</v>
      </c>
      <c r="B79" s="125" t="s">
        <v>148</v>
      </c>
      <c r="C79" s="13" t="s">
        <v>217</v>
      </c>
      <c r="D79" s="13" t="s">
        <v>0</v>
      </c>
      <c r="E79" s="132">
        <f>E80+E82+E84</f>
        <v>1150</v>
      </c>
      <c r="F79" s="132">
        <f>F80+F82+F84</f>
        <v>1150</v>
      </c>
      <c r="G79" s="221"/>
    </row>
    <row r="80" spans="1:7" ht="31.5">
      <c r="A80" s="46" t="s">
        <v>139</v>
      </c>
      <c r="B80" s="48" t="s">
        <v>148</v>
      </c>
      <c r="C80" s="48" t="s">
        <v>228</v>
      </c>
      <c r="D80" s="48"/>
      <c r="E80" s="49">
        <f>E81</f>
        <v>1000</v>
      </c>
      <c r="F80" s="49">
        <f>F81</f>
        <v>1000</v>
      </c>
      <c r="G80" s="221"/>
    </row>
    <row r="81" spans="1:7" ht="47.25">
      <c r="A81" s="46" t="s">
        <v>140</v>
      </c>
      <c r="B81" s="48" t="s">
        <v>148</v>
      </c>
      <c r="C81" s="48" t="s">
        <v>228</v>
      </c>
      <c r="D81" s="48" t="s">
        <v>22</v>
      </c>
      <c r="E81" s="49">
        <v>1000</v>
      </c>
      <c r="F81" s="49">
        <v>1000</v>
      </c>
      <c r="G81" s="221"/>
    </row>
    <row r="82" spans="1:7" ht="63">
      <c r="A82" s="46" t="s">
        <v>449</v>
      </c>
      <c r="B82" s="48" t="s">
        <v>148</v>
      </c>
      <c r="C82" s="48" t="s">
        <v>450</v>
      </c>
      <c r="D82" s="48"/>
      <c r="E82" s="49">
        <f>E83</f>
        <v>50</v>
      </c>
      <c r="F82" s="49">
        <f>F83</f>
        <v>50</v>
      </c>
      <c r="G82" s="221"/>
    </row>
    <row r="83" spans="1:7" ht="47.25">
      <c r="A83" s="46" t="s">
        <v>18</v>
      </c>
      <c r="B83" s="48" t="s">
        <v>148</v>
      </c>
      <c r="C83" s="48" t="s">
        <v>450</v>
      </c>
      <c r="D83" s="48" t="s">
        <v>13</v>
      </c>
      <c r="E83" s="49">
        <v>50</v>
      </c>
      <c r="F83" s="49">
        <v>50</v>
      </c>
      <c r="G83" s="221"/>
    </row>
    <row r="84" spans="1:7" ht="47.25">
      <c r="A84" s="46" t="s">
        <v>179</v>
      </c>
      <c r="B84" s="48" t="s">
        <v>148</v>
      </c>
      <c r="C84" s="48" t="s">
        <v>229</v>
      </c>
      <c r="D84" s="48"/>
      <c r="E84" s="49">
        <f>E85</f>
        <v>100</v>
      </c>
      <c r="F84" s="49">
        <f>F85</f>
        <v>100</v>
      </c>
      <c r="G84" s="221"/>
    </row>
    <row r="85" spans="1:7" ht="47.25">
      <c r="A85" s="46" t="s">
        <v>18</v>
      </c>
      <c r="B85" s="48" t="s">
        <v>148</v>
      </c>
      <c r="C85" s="48" t="s">
        <v>229</v>
      </c>
      <c r="D85" s="48" t="s">
        <v>13</v>
      </c>
      <c r="E85" s="49">
        <v>100</v>
      </c>
      <c r="F85" s="49">
        <v>100</v>
      </c>
      <c r="G85" s="221"/>
    </row>
    <row r="86" spans="1:7" ht="47.25">
      <c r="A86" s="223" t="s">
        <v>80</v>
      </c>
      <c r="B86" s="105" t="s">
        <v>148</v>
      </c>
      <c r="C86" s="104" t="s">
        <v>247</v>
      </c>
      <c r="D86" s="104" t="s">
        <v>0</v>
      </c>
      <c r="E86" s="111">
        <f>E87+E89+E91+E93+E95+E97</f>
        <v>59085.7</v>
      </c>
      <c r="F86" s="111">
        <f>F87+F89+F91+F93+F95+F97</f>
        <v>59085.7</v>
      </c>
      <c r="G86" s="228"/>
    </row>
    <row r="87" spans="1:7" ht="31.5">
      <c r="A87" s="16" t="s">
        <v>29</v>
      </c>
      <c r="B87" s="32" t="s">
        <v>148</v>
      </c>
      <c r="C87" s="48" t="s">
        <v>248</v>
      </c>
      <c r="D87" s="9"/>
      <c r="E87" s="19">
        <f>E88</f>
        <v>100</v>
      </c>
      <c r="F87" s="19">
        <f>F88</f>
        <v>100</v>
      </c>
      <c r="G87" s="228"/>
    </row>
    <row r="88" spans="1:7" ht="47.25">
      <c r="A88" s="26" t="s">
        <v>18</v>
      </c>
      <c r="B88" s="48" t="s">
        <v>148</v>
      </c>
      <c r="C88" s="48" t="s">
        <v>248</v>
      </c>
      <c r="D88" s="48" t="s">
        <v>13</v>
      </c>
      <c r="E88" s="49">
        <v>100</v>
      </c>
      <c r="F88" s="49">
        <v>100</v>
      </c>
      <c r="G88" s="228"/>
    </row>
    <row r="89" spans="1:7" ht="47.25">
      <c r="A89" s="26" t="s">
        <v>81</v>
      </c>
      <c r="B89" s="48" t="s">
        <v>148</v>
      </c>
      <c r="C89" s="48" t="s">
        <v>249</v>
      </c>
      <c r="D89" s="48"/>
      <c r="E89" s="49">
        <f>E90</f>
        <v>16000</v>
      </c>
      <c r="F89" s="49">
        <f>F90</f>
        <v>16000</v>
      </c>
      <c r="G89" s="228"/>
    </row>
    <row r="90" spans="1:7" ht="63">
      <c r="A90" s="66" t="s">
        <v>15</v>
      </c>
      <c r="B90" s="48" t="s">
        <v>148</v>
      </c>
      <c r="C90" s="48" t="s">
        <v>249</v>
      </c>
      <c r="D90" s="48" t="s">
        <v>16</v>
      </c>
      <c r="E90" s="49">
        <v>16000</v>
      </c>
      <c r="F90" s="49">
        <v>16000</v>
      </c>
      <c r="G90" s="228"/>
    </row>
    <row r="91" spans="1:7" ht="78.75">
      <c r="A91" s="67" t="s">
        <v>82</v>
      </c>
      <c r="B91" s="48" t="s">
        <v>148</v>
      </c>
      <c r="C91" s="48" t="s">
        <v>250</v>
      </c>
      <c r="D91" s="25"/>
      <c r="E91" s="49">
        <f>E92</f>
        <v>41000</v>
      </c>
      <c r="F91" s="49">
        <f>F92</f>
        <v>41000</v>
      </c>
      <c r="G91" s="228"/>
    </row>
    <row r="92" spans="1:7" ht="63">
      <c r="A92" s="67" t="s">
        <v>15</v>
      </c>
      <c r="B92" s="48" t="s">
        <v>148</v>
      </c>
      <c r="C92" s="48" t="s">
        <v>250</v>
      </c>
      <c r="D92" s="25" t="s">
        <v>16</v>
      </c>
      <c r="E92" s="49">
        <v>41000</v>
      </c>
      <c r="F92" s="49">
        <v>41000</v>
      </c>
      <c r="G92" s="229"/>
    </row>
    <row r="93" spans="1:7" ht="47.25">
      <c r="A93" s="67" t="s">
        <v>58</v>
      </c>
      <c r="B93" s="48" t="s">
        <v>148</v>
      </c>
      <c r="C93" s="48" t="s">
        <v>251</v>
      </c>
      <c r="D93" s="25"/>
      <c r="E93" s="49">
        <f>E94</f>
        <v>300.7</v>
      </c>
      <c r="F93" s="49">
        <f>F94</f>
        <v>300.7</v>
      </c>
      <c r="G93" s="228"/>
    </row>
    <row r="94" spans="1:7" ht="47.25">
      <c r="A94" s="53" t="s">
        <v>18</v>
      </c>
      <c r="B94" s="48" t="s">
        <v>148</v>
      </c>
      <c r="C94" s="48" t="s">
        <v>251</v>
      </c>
      <c r="D94" s="25" t="s">
        <v>13</v>
      </c>
      <c r="E94" s="49">
        <v>300.7</v>
      </c>
      <c r="F94" s="49">
        <v>300.7</v>
      </c>
      <c r="G94" s="228"/>
    </row>
    <row r="95" spans="1:7" ht="63">
      <c r="A95" s="230" t="s">
        <v>59</v>
      </c>
      <c r="B95" s="48" t="s">
        <v>148</v>
      </c>
      <c r="C95" s="48" t="s">
        <v>252</v>
      </c>
      <c r="D95" s="17"/>
      <c r="E95" s="19">
        <f>E96</f>
        <v>35</v>
      </c>
      <c r="F95" s="19">
        <f>F96</f>
        <v>35</v>
      </c>
      <c r="G95" s="228"/>
    </row>
    <row r="96" spans="1:7" ht="47.25">
      <c r="A96" s="26" t="s">
        <v>18</v>
      </c>
      <c r="B96" s="48" t="s">
        <v>148</v>
      </c>
      <c r="C96" s="48" t="s">
        <v>252</v>
      </c>
      <c r="D96" s="48" t="s">
        <v>13</v>
      </c>
      <c r="E96" s="49">
        <v>35</v>
      </c>
      <c r="F96" s="49">
        <v>35</v>
      </c>
      <c r="G96" s="228"/>
    </row>
    <row r="97" spans="1:7" ht="47.25">
      <c r="A97" s="67" t="s">
        <v>60</v>
      </c>
      <c r="B97" s="48" t="s">
        <v>148</v>
      </c>
      <c r="C97" s="48" t="s">
        <v>253</v>
      </c>
      <c r="D97" s="48"/>
      <c r="E97" s="49">
        <f>E98</f>
        <v>1650</v>
      </c>
      <c r="F97" s="49">
        <f>F98</f>
        <v>1650</v>
      </c>
      <c r="G97" s="228"/>
    </row>
    <row r="98" spans="1:7" ht="47.25">
      <c r="A98" s="26" t="s">
        <v>18</v>
      </c>
      <c r="B98" s="48" t="s">
        <v>148</v>
      </c>
      <c r="C98" s="48" t="s">
        <v>253</v>
      </c>
      <c r="D98" s="48" t="s">
        <v>13</v>
      </c>
      <c r="E98" s="49">
        <v>1650</v>
      </c>
      <c r="F98" s="49">
        <v>1650</v>
      </c>
      <c r="G98" s="221"/>
    </row>
    <row r="99" spans="1:7" ht="63">
      <c r="A99" s="110" t="s">
        <v>123</v>
      </c>
      <c r="B99" s="105" t="s">
        <v>148</v>
      </c>
      <c r="C99" s="104" t="s">
        <v>271</v>
      </c>
      <c r="D99" s="104" t="s">
        <v>0</v>
      </c>
      <c r="E99" s="111">
        <f>E100+E126+E137</f>
        <v>114358.59999999999</v>
      </c>
      <c r="F99" s="111">
        <f>F100+F126+F137</f>
        <v>114789.2</v>
      </c>
      <c r="G99" s="221"/>
    </row>
    <row r="100" spans="1:7" ht="31.5">
      <c r="A100" s="12" t="s">
        <v>126</v>
      </c>
      <c r="B100" s="112" t="s">
        <v>148</v>
      </c>
      <c r="C100" s="13" t="s">
        <v>279</v>
      </c>
      <c r="D100" s="13" t="s">
        <v>0</v>
      </c>
      <c r="E100" s="14">
        <f>E101+E103+E108+E111+E114+E117+E120+E123</f>
        <v>108223.59999999999</v>
      </c>
      <c r="F100" s="14">
        <f>F101+F103+F108+F111+F114+F117+F120+F123</f>
        <v>108654.2</v>
      </c>
      <c r="G100" s="221"/>
    </row>
    <row r="101" spans="1:7" ht="47.25">
      <c r="A101" s="231" t="s">
        <v>25</v>
      </c>
      <c r="B101" s="48" t="s">
        <v>148</v>
      </c>
      <c r="C101" s="17" t="s">
        <v>280</v>
      </c>
      <c r="D101" s="17"/>
      <c r="E101" s="10">
        <f>E102</f>
        <v>100</v>
      </c>
      <c r="F101" s="10">
        <f>F102</f>
        <v>100</v>
      </c>
      <c r="G101" s="222"/>
    </row>
    <row r="102" spans="1:7" ht="47.25">
      <c r="A102" s="51" t="s">
        <v>18</v>
      </c>
      <c r="B102" s="48" t="s">
        <v>148</v>
      </c>
      <c r="C102" s="17" t="s">
        <v>280</v>
      </c>
      <c r="D102" s="48" t="s">
        <v>13</v>
      </c>
      <c r="E102" s="49">
        <v>100</v>
      </c>
      <c r="F102" s="49">
        <v>100</v>
      </c>
      <c r="G102" s="222"/>
    </row>
    <row r="103" spans="1:8" ht="47.25">
      <c r="A103" s="232" t="s">
        <v>19</v>
      </c>
      <c r="B103" s="48" t="s">
        <v>148</v>
      </c>
      <c r="C103" s="48" t="s">
        <v>281</v>
      </c>
      <c r="D103" s="48"/>
      <c r="E103" s="24">
        <f>SUM(E104:E107)</f>
        <v>97008.4</v>
      </c>
      <c r="F103" s="24">
        <f>SUM(F104:F107)</f>
        <v>97439</v>
      </c>
      <c r="G103" s="221" t="s">
        <v>468</v>
      </c>
      <c r="H103">
        <v>97439</v>
      </c>
    </row>
    <row r="104" spans="1:7" ht="126">
      <c r="A104" s="63" t="s">
        <v>20</v>
      </c>
      <c r="B104" s="48" t="s">
        <v>148</v>
      </c>
      <c r="C104" s="48" t="s">
        <v>281</v>
      </c>
      <c r="D104" s="48" t="s">
        <v>21</v>
      </c>
      <c r="E104" s="49">
        <f>79263.6+710</f>
        <v>79973.6</v>
      </c>
      <c r="F104" s="49">
        <f>79263.6+710</f>
        <v>79973.6</v>
      </c>
      <c r="G104" s="221"/>
    </row>
    <row r="105" spans="1:7" ht="45" customHeight="1">
      <c r="A105" s="117" t="s">
        <v>469</v>
      </c>
      <c r="B105" s="48" t="s">
        <v>148</v>
      </c>
      <c r="C105" s="48" t="s">
        <v>281</v>
      </c>
      <c r="D105" s="48" t="s">
        <v>13</v>
      </c>
      <c r="E105" s="49">
        <f>9085.4+396-710</f>
        <v>8771.4</v>
      </c>
      <c r="F105" s="49">
        <f>9516+396-710</f>
        <v>9202</v>
      </c>
      <c r="G105" s="221"/>
    </row>
    <row r="106" spans="1:7" ht="31.5">
      <c r="A106" s="26" t="s">
        <v>111</v>
      </c>
      <c r="B106" s="48" t="s">
        <v>148</v>
      </c>
      <c r="C106" s="48" t="s">
        <v>281</v>
      </c>
      <c r="D106" s="48" t="s">
        <v>22</v>
      </c>
      <c r="E106" s="49">
        <v>7567</v>
      </c>
      <c r="F106" s="49">
        <v>7567</v>
      </c>
      <c r="G106" s="221"/>
    </row>
    <row r="107" spans="1:7" ht="15.75">
      <c r="A107" s="86" t="s">
        <v>14</v>
      </c>
      <c r="B107" s="48" t="s">
        <v>148</v>
      </c>
      <c r="C107" s="48" t="s">
        <v>281</v>
      </c>
      <c r="D107" s="48" t="s">
        <v>17</v>
      </c>
      <c r="E107" s="49">
        <v>696.4</v>
      </c>
      <c r="F107" s="49">
        <v>696.4</v>
      </c>
      <c r="G107" s="222"/>
    </row>
    <row r="108" spans="1:7" ht="47.25">
      <c r="A108" s="231" t="s">
        <v>83</v>
      </c>
      <c r="B108" s="48" t="s">
        <v>148</v>
      </c>
      <c r="C108" s="48" t="s">
        <v>282</v>
      </c>
      <c r="D108" s="48"/>
      <c r="E108" s="49">
        <f>E110+E109</f>
        <v>10300</v>
      </c>
      <c r="F108" s="49">
        <f>F110+F109</f>
        <v>10300</v>
      </c>
      <c r="G108" s="221"/>
    </row>
    <row r="109" spans="1:7" ht="126">
      <c r="A109" s="63" t="s">
        <v>20</v>
      </c>
      <c r="B109" s="48" t="s">
        <v>148</v>
      </c>
      <c r="C109" s="48" t="s">
        <v>282</v>
      </c>
      <c r="D109" s="48" t="s">
        <v>21</v>
      </c>
      <c r="E109" s="49">
        <v>8307.3</v>
      </c>
      <c r="F109" s="49">
        <v>8307.3</v>
      </c>
      <c r="G109" s="221"/>
    </row>
    <row r="110" spans="1:7" ht="47.25">
      <c r="A110" s="51" t="s">
        <v>18</v>
      </c>
      <c r="B110" s="48" t="s">
        <v>148</v>
      </c>
      <c r="C110" s="48" t="s">
        <v>282</v>
      </c>
      <c r="D110" s="48" t="s">
        <v>13</v>
      </c>
      <c r="E110" s="49">
        <v>1992.7</v>
      </c>
      <c r="F110" s="49">
        <v>1992.7</v>
      </c>
      <c r="G110" s="233"/>
    </row>
    <row r="111" spans="1:7" ht="170.25" customHeight="1">
      <c r="A111" s="75" t="s">
        <v>333</v>
      </c>
      <c r="B111" s="48" t="s">
        <v>148</v>
      </c>
      <c r="C111" s="32" t="s">
        <v>348</v>
      </c>
      <c r="D111" s="48"/>
      <c r="E111" s="49">
        <f>E112+E113</f>
        <v>39</v>
      </c>
      <c r="F111" s="49">
        <f>F112+F113</f>
        <v>39</v>
      </c>
      <c r="G111" s="222"/>
    </row>
    <row r="112" spans="1:7" ht="42" customHeight="1">
      <c r="A112" s="50" t="s">
        <v>20</v>
      </c>
      <c r="B112" s="48" t="s">
        <v>148</v>
      </c>
      <c r="C112" s="32" t="s">
        <v>348</v>
      </c>
      <c r="D112" s="48" t="s">
        <v>21</v>
      </c>
      <c r="E112" s="49">
        <f>11.2+11.2+5.6</f>
        <v>28</v>
      </c>
      <c r="F112" s="49">
        <f>11.2+5.6+11.2</f>
        <v>27.999999999999996</v>
      </c>
      <c r="G112" s="221"/>
    </row>
    <row r="113" spans="1:7" ht="51.75" customHeight="1">
      <c r="A113" s="51" t="s">
        <v>18</v>
      </c>
      <c r="B113" s="48" t="s">
        <v>148</v>
      </c>
      <c r="C113" s="32" t="s">
        <v>348</v>
      </c>
      <c r="D113" s="48" t="s">
        <v>13</v>
      </c>
      <c r="E113" s="49">
        <f>3+5+3</f>
        <v>11</v>
      </c>
      <c r="F113" s="49">
        <f>3+5+3</f>
        <v>11</v>
      </c>
      <c r="G113" s="222"/>
    </row>
    <row r="114" spans="1:7" ht="330.75">
      <c r="A114" s="234" t="s">
        <v>335</v>
      </c>
      <c r="B114" s="48" t="s">
        <v>148</v>
      </c>
      <c r="C114" s="32" t="s">
        <v>291</v>
      </c>
      <c r="D114" s="48"/>
      <c r="E114" s="49">
        <f>E115+E116</f>
        <v>86.1</v>
      </c>
      <c r="F114" s="49">
        <f>F115+F116</f>
        <v>86.1</v>
      </c>
      <c r="G114" s="221"/>
    </row>
    <row r="115" spans="1:7" ht="126">
      <c r="A115" s="50" t="s">
        <v>20</v>
      </c>
      <c r="B115" s="48" t="s">
        <v>148</v>
      </c>
      <c r="C115" s="32" t="s">
        <v>291</v>
      </c>
      <c r="D115" s="48" t="s">
        <v>21</v>
      </c>
      <c r="E115" s="49">
        <f>55.9+27.9</f>
        <v>83.8</v>
      </c>
      <c r="F115" s="49">
        <f>55.9+27.9</f>
        <v>83.8</v>
      </c>
      <c r="G115" s="222"/>
    </row>
    <row r="116" spans="1:7" ht="47.25">
      <c r="A116" s="117" t="s">
        <v>18</v>
      </c>
      <c r="B116" s="48" t="s">
        <v>148</v>
      </c>
      <c r="C116" s="32" t="s">
        <v>291</v>
      </c>
      <c r="D116" s="48" t="s">
        <v>13</v>
      </c>
      <c r="E116" s="49">
        <f>1.5+0.8</f>
        <v>2.3</v>
      </c>
      <c r="F116" s="49">
        <f>1.5+0.8</f>
        <v>2.3</v>
      </c>
      <c r="G116" s="221"/>
    </row>
    <row r="117" spans="1:7" ht="141.75">
      <c r="A117" s="118" t="s">
        <v>381</v>
      </c>
      <c r="B117" s="48" t="s">
        <v>148</v>
      </c>
      <c r="C117" s="32" t="s">
        <v>292</v>
      </c>
      <c r="D117" s="48"/>
      <c r="E117" s="49">
        <f>E118+E119</f>
        <v>58.9</v>
      </c>
      <c r="F117" s="49">
        <f>F118+F119</f>
        <v>58.9</v>
      </c>
      <c r="G117" s="221"/>
    </row>
    <row r="118" spans="1:7" ht="126">
      <c r="A118" s="50" t="s">
        <v>20</v>
      </c>
      <c r="B118" s="48" t="s">
        <v>148</v>
      </c>
      <c r="C118" s="32" t="s">
        <v>292</v>
      </c>
      <c r="D118" s="48" t="s">
        <v>21</v>
      </c>
      <c r="E118" s="49">
        <v>55.9</v>
      </c>
      <c r="F118" s="49">
        <v>55.9</v>
      </c>
      <c r="G118" s="235"/>
    </row>
    <row r="119" spans="1:7" ht="47.25">
      <c r="A119" s="117" t="s">
        <v>18</v>
      </c>
      <c r="B119" s="48" t="s">
        <v>148</v>
      </c>
      <c r="C119" s="32" t="s">
        <v>292</v>
      </c>
      <c r="D119" s="48" t="s">
        <v>13</v>
      </c>
      <c r="E119" s="49">
        <v>3</v>
      </c>
      <c r="F119" s="49">
        <v>3</v>
      </c>
      <c r="G119" s="221"/>
    </row>
    <row r="120" spans="1:7" ht="299.25">
      <c r="A120" s="119" t="s">
        <v>334</v>
      </c>
      <c r="B120" s="48" t="s">
        <v>148</v>
      </c>
      <c r="C120" s="48" t="s">
        <v>293</v>
      </c>
      <c r="D120" s="48"/>
      <c r="E120" s="49">
        <f>E121+E122</f>
        <v>572.3</v>
      </c>
      <c r="F120" s="49">
        <f>F121+F122</f>
        <v>572.3</v>
      </c>
      <c r="G120" s="221"/>
    </row>
    <row r="121" spans="1:7" ht="126">
      <c r="A121" s="50" t="s">
        <v>20</v>
      </c>
      <c r="B121" s="48" t="s">
        <v>148</v>
      </c>
      <c r="C121" s="48" t="s">
        <v>293</v>
      </c>
      <c r="D121" s="48" t="s">
        <v>21</v>
      </c>
      <c r="E121" s="49">
        <v>559.3</v>
      </c>
      <c r="F121" s="49">
        <v>559.3</v>
      </c>
      <c r="G121" s="222"/>
    </row>
    <row r="122" spans="1:7" ht="47.25">
      <c r="A122" s="236" t="s">
        <v>18</v>
      </c>
      <c r="B122" s="48" t="s">
        <v>148</v>
      </c>
      <c r="C122" s="48" t="s">
        <v>293</v>
      </c>
      <c r="D122" s="25" t="s">
        <v>13</v>
      </c>
      <c r="E122" s="49">
        <v>13</v>
      </c>
      <c r="F122" s="49">
        <v>13</v>
      </c>
      <c r="G122" s="221"/>
    </row>
    <row r="123" spans="1:7" ht="126">
      <c r="A123" s="27" t="s">
        <v>380</v>
      </c>
      <c r="B123" s="32" t="s">
        <v>148</v>
      </c>
      <c r="C123" s="32" t="s">
        <v>294</v>
      </c>
      <c r="D123" s="40"/>
      <c r="E123" s="42">
        <f>E124+E125</f>
        <v>58.9</v>
      </c>
      <c r="F123" s="42">
        <f>F124+F125</f>
        <v>58.9</v>
      </c>
      <c r="G123" s="221"/>
    </row>
    <row r="124" spans="1:7" ht="126">
      <c r="A124" s="50" t="s">
        <v>20</v>
      </c>
      <c r="B124" s="48" t="s">
        <v>148</v>
      </c>
      <c r="C124" s="32" t="s">
        <v>294</v>
      </c>
      <c r="D124" s="48" t="s">
        <v>21</v>
      </c>
      <c r="E124" s="49">
        <v>55.9</v>
      </c>
      <c r="F124" s="49">
        <v>55.9</v>
      </c>
      <c r="G124" s="237"/>
    </row>
    <row r="125" spans="1:7" ht="47.25">
      <c r="A125" s="117" t="s">
        <v>18</v>
      </c>
      <c r="B125" s="48" t="s">
        <v>148</v>
      </c>
      <c r="C125" s="32" t="s">
        <v>294</v>
      </c>
      <c r="D125" s="48" t="s">
        <v>13</v>
      </c>
      <c r="E125" s="49">
        <v>3</v>
      </c>
      <c r="F125" s="49">
        <v>3</v>
      </c>
      <c r="G125" s="221"/>
    </row>
    <row r="126" spans="1:7" ht="31.5">
      <c r="A126" s="12" t="s">
        <v>115</v>
      </c>
      <c r="B126" s="112" t="s">
        <v>148</v>
      </c>
      <c r="C126" s="13" t="s">
        <v>284</v>
      </c>
      <c r="D126" s="13" t="s">
        <v>0</v>
      </c>
      <c r="E126" s="14">
        <f>E127+E129+E131+E133+E135</f>
        <v>6130</v>
      </c>
      <c r="F126" s="14">
        <f>F127+F129+F131+F133+F135</f>
        <v>6130</v>
      </c>
      <c r="G126" s="221"/>
    </row>
    <row r="127" spans="1:7" ht="63">
      <c r="A127" s="50" t="s">
        <v>26</v>
      </c>
      <c r="B127" s="48" t="s">
        <v>148</v>
      </c>
      <c r="C127" s="48" t="s">
        <v>285</v>
      </c>
      <c r="D127" s="48"/>
      <c r="E127" s="49">
        <f>E128</f>
        <v>30</v>
      </c>
      <c r="F127" s="49">
        <f>F128</f>
        <v>30</v>
      </c>
      <c r="G127" s="222"/>
    </row>
    <row r="128" spans="1:7" ht="47.25">
      <c r="A128" s="51" t="s">
        <v>18</v>
      </c>
      <c r="B128" s="48" t="s">
        <v>148</v>
      </c>
      <c r="C128" s="48" t="s">
        <v>285</v>
      </c>
      <c r="D128" s="48" t="s">
        <v>13</v>
      </c>
      <c r="E128" s="49">
        <v>30</v>
      </c>
      <c r="F128" s="49">
        <v>30</v>
      </c>
      <c r="G128" s="221"/>
    </row>
    <row r="129" spans="1:7" ht="31.5">
      <c r="A129" s="238" t="s">
        <v>451</v>
      </c>
      <c r="B129" s="32" t="s">
        <v>148</v>
      </c>
      <c r="C129" s="9" t="s">
        <v>452</v>
      </c>
      <c r="D129" s="9"/>
      <c r="E129" s="10">
        <f>E130</f>
        <v>300</v>
      </c>
      <c r="F129" s="10">
        <f>F130</f>
        <v>300</v>
      </c>
      <c r="G129" s="222"/>
    </row>
    <row r="130" spans="1:7" ht="47.25">
      <c r="A130" s="51" t="s">
        <v>18</v>
      </c>
      <c r="B130" s="48" t="s">
        <v>148</v>
      </c>
      <c r="C130" s="9" t="s">
        <v>452</v>
      </c>
      <c r="D130" s="48" t="s">
        <v>13</v>
      </c>
      <c r="E130" s="49">
        <v>300</v>
      </c>
      <c r="F130" s="49">
        <v>300</v>
      </c>
      <c r="G130" s="239"/>
    </row>
    <row r="131" spans="1:7" ht="94.5">
      <c r="A131" s="50" t="s">
        <v>27</v>
      </c>
      <c r="B131" s="48" t="s">
        <v>148</v>
      </c>
      <c r="C131" s="9" t="s">
        <v>286</v>
      </c>
      <c r="D131" s="48"/>
      <c r="E131" s="49">
        <f>E132</f>
        <v>5400</v>
      </c>
      <c r="F131" s="49">
        <f>F132</f>
        <v>5400</v>
      </c>
      <c r="G131" s="222"/>
    </row>
    <row r="132" spans="1:7" ht="63">
      <c r="A132" s="88" t="s">
        <v>15</v>
      </c>
      <c r="B132" s="48" t="s">
        <v>148</v>
      </c>
      <c r="C132" s="9" t="s">
        <v>286</v>
      </c>
      <c r="D132" s="48" t="s">
        <v>16</v>
      </c>
      <c r="E132" s="49">
        <v>5400</v>
      </c>
      <c r="F132" s="49">
        <v>5400</v>
      </c>
      <c r="G132" s="221"/>
    </row>
    <row r="133" spans="1:7" ht="126">
      <c r="A133" s="50" t="s">
        <v>28</v>
      </c>
      <c r="B133" s="48" t="s">
        <v>148</v>
      </c>
      <c r="C133" s="48" t="s">
        <v>287</v>
      </c>
      <c r="D133" s="48"/>
      <c r="E133" s="49">
        <f>E134</f>
        <v>200</v>
      </c>
      <c r="F133" s="49">
        <f>F134</f>
        <v>200</v>
      </c>
      <c r="G133" s="221"/>
    </row>
    <row r="134" spans="1:7" ht="47.25">
      <c r="A134" s="51" t="s">
        <v>18</v>
      </c>
      <c r="B134" s="48" t="s">
        <v>148</v>
      </c>
      <c r="C134" s="48" t="s">
        <v>287</v>
      </c>
      <c r="D134" s="48" t="s">
        <v>13</v>
      </c>
      <c r="E134" s="49">
        <v>200</v>
      </c>
      <c r="F134" s="49">
        <v>200</v>
      </c>
      <c r="G134" s="235"/>
    </row>
    <row r="135" spans="1:7" ht="31.5">
      <c r="A135" s="50" t="s">
        <v>100</v>
      </c>
      <c r="B135" s="48" t="s">
        <v>148</v>
      </c>
      <c r="C135" s="48" t="s">
        <v>288</v>
      </c>
      <c r="D135" s="25"/>
      <c r="E135" s="49">
        <f>E136</f>
        <v>200</v>
      </c>
      <c r="F135" s="49">
        <f>F136</f>
        <v>200</v>
      </c>
      <c r="G135" s="221"/>
    </row>
    <row r="136" spans="1:7" ht="47.25">
      <c r="A136" s="51" t="s">
        <v>18</v>
      </c>
      <c r="B136" s="48" t="s">
        <v>148</v>
      </c>
      <c r="C136" s="48" t="s">
        <v>288</v>
      </c>
      <c r="D136" s="48" t="s">
        <v>13</v>
      </c>
      <c r="E136" s="49">
        <v>200</v>
      </c>
      <c r="F136" s="49">
        <v>200</v>
      </c>
      <c r="G136" s="235"/>
    </row>
    <row r="137" spans="1:7" ht="31.5">
      <c r="A137" s="12" t="s">
        <v>127</v>
      </c>
      <c r="B137" s="112" t="s">
        <v>148</v>
      </c>
      <c r="C137" s="13" t="s">
        <v>289</v>
      </c>
      <c r="D137" s="13" t="s">
        <v>0</v>
      </c>
      <c r="E137" s="14">
        <f>E138</f>
        <v>5</v>
      </c>
      <c r="F137" s="14">
        <f>F138</f>
        <v>5</v>
      </c>
      <c r="G137" s="221"/>
    </row>
    <row r="138" spans="1:7" ht="63">
      <c r="A138" s="50" t="s">
        <v>150</v>
      </c>
      <c r="B138" s="48" t="s">
        <v>148</v>
      </c>
      <c r="C138" s="17" t="s">
        <v>290</v>
      </c>
      <c r="D138" s="25"/>
      <c r="E138" s="24">
        <f>E139</f>
        <v>5</v>
      </c>
      <c r="F138" s="24">
        <f>F139</f>
        <v>5</v>
      </c>
      <c r="G138" s="235"/>
    </row>
    <row r="139" spans="1:7" ht="47.25">
      <c r="A139" s="51" t="s">
        <v>18</v>
      </c>
      <c r="B139" s="48" t="s">
        <v>148</v>
      </c>
      <c r="C139" s="17" t="s">
        <v>290</v>
      </c>
      <c r="D139" s="25" t="s">
        <v>13</v>
      </c>
      <c r="E139" s="49">
        <v>5</v>
      </c>
      <c r="F139" s="49">
        <v>5</v>
      </c>
      <c r="G139" s="221"/>
    </row>
    <row r="140" spans="1:7" ht="63">
      <c r="A140" s="110" t="s">
        <v>470</v>
      </c>
      <c r="B140" s="105" t="s">
        <v>148</v>
      </c>
      <c r="C140" s="104" t="s">
        <v>234</v>
      </c>
      <c r="D140" s="104" t="s">
        <v>0</v>
      </c>
      <c r="E140" s="111">
        <f>E141+E144+E148</f>
        <v>12680</v>
      </c>
      <c r="F140" s="111">
        <f>F141+F144+F148</f>
        <v>12685</v>
      </c>
      <c r="G140" s="222"/>
    </row>
    <row r="141" spans="1:7" ht="47.25">
      <c r="A141" s="12" t="s">
        <v>129</v>
      </c>
      <c r="B141" s="112" t="s">
        <v>148</v>
      </c>
      <c r="C141" s="13" t="s">
        <v>254</v>
      </c>
      <c r="D141" s="13" t="s">
        <v>0</v>
      </c>
      <c r="E141" s="14">
        <f>E142</f>
        <v>30</v>
      </c>
      <c r="F141" s="14">
        <f>F142</f>
        <v>30</v>
      </c>
      <c r="G141" s="221"/>
    </row>
    <row r="142" spans="1:7" ht="63">
      <c r="A142" s="46" t="s">
        <v>47</v>
      </c>
      <c r="B142" s="48" t="s">
        <v>148</v>
      </c>
      <c r="C142" s="40" t="s">
        <v>256</v>
      </c>
      <c r="D142" s="72"/>
      <c r="E142" s="22">
        <f>E143</f>
        <v>30</v>
      </c>
      <c r="F142" s="22">
        <f>F143</f>
        <v>30</v>
      </c>
      <c r="G142" s="225"/>
    </row>
    <row r="143" spans="1:7" ht="47.25">
      <c r="A143" s="46" t="s">
        <v>18</v>
      </c>
      <c r="B143" s="48" t="s">
        <v>148</v>
      </c>
      <c r="C143" s="40" t="s">
        <v>256</v>
      </c>
      <c r="D143" s="25" t="s">
        <v>13</v>
      </c>
      <c r="E143" s="49">
        <v>30</v>
      </c>
      <c r="F143" s="49">
        <v>30</v>
      </c>
      <c r="G143" s="235"/>
    </row>
    <row r="144" spans="1:7" ht="63">
      <c r="A144" s="12" t="s">
        <v>151</v>
      </c>
      <c r="B144" s="112" t="s">
        <v>148</v>
      </c>
      <c r="C144" s="13" t="s">
        <v>257</v>
      </c>
      <c r="D144" s="13" t="s">
        <v>0</v>
      </c>
      <c r="E144" s="14">
        <f>E145</f>
        <v>12385</v>
      </c>
      <c r="F144" s="14">
        <f>F145</f>
        <v>12385</v>
      </c>
      <c r="G144" s="225"/>
    </row>
    <row r="145" spans="1:7" ht="31.5">
      <c r="A145" s="46" t="s">
        <v>104</v>
      </c>
      <c r="B145" s="48" t="s">
        <v>148</v>
      </c>
      <c r="C145" s="40" t="s">
        <v>258</v>
      </c>
      <c r="D145" s="48"/>
      <c r="E145" s="49">
        <f>E146+E147</f>
        <v>12385</v>
      </c>
      <c r="F145" s="49">
        <f>F146+F147</f>
        <v>12385</v>
      </c>
      <c r="G145" s="221"/>
    </row>
    <row r="146" spans="1:7" ht="126">
      <c r="A146" s="26" t="s">
        <v>20</v>
      </c>
      <c r="B146" s="48" t="s">
        <v>148</v>
      </c>
      <c r="C146" s="40" t="s">
        <v>258</v>
      </c>
      <c r="D146" s="48" t="s">
        <v>21</v>
      </c>
      <c r="E146" s="49">
        <f>11300+29.7</f>
        <v>11329.7</v>
      </c>
      <c r="F146" s="49">
        <f>11300+29.7</f>
        <v>11329.7</v>
      </c>
      <c r="G146" s="221"/>
    </row>
    <row r="147" spans="1:7" ht="47.25">
      <c r="A147" s="46" t="s">
        <v>18</v>
      </c>
      <c r="B147" s="48" t="s">
        <v>148</v>
      </c>
      <c r="C147" s="40" t="s">
        <v>258</v>
      </c>
      <c r="D147" s="48" t="s">
        <v>13</v>
      </c>
      <c r="E147" s="49">
        <f>1085-29.7</f>
        <v>1055.3</v>
      </c>
      <c r="F147" s="49">
        <f>1085-29.7</f>
        <v>1055.3</v>
      </c>
      <c r="G147" s="222"/>
    </row>
    <row r="148" spans="1:7" ht="47.25">
      <c r="A148" s="28" t="s">
        <v>172</v>
      </c>
      <c r="B148" s="112" t="s">
        <v>148</v>
      </c>
      <c r="C148" s="13" t="s">
        <v>262</v>
      </c>
      <c r="D148" s="13"/>
      <c r="E148" s="14">
        <f>E149+E151+E153</f>
        <v>265</v>
      </c>
      <c r="F148" s="14">
        <f>F149+F151+F153</f>
        <v>270</v>
      </c>
      <c r="G148" s="222"/>
    </row>
    <row r="149" spans="1:7" ht="141.75">
      <c r="A149" s="46" t="s">
        <v>173</v>
      </c>
      <c r="B149" s="48" t="s">
        <v>148</v>
      </c>
      <c r="C149" s="40" t="s">
        <v>263</v>
      </c>
      <c r="D149" s="25"/>
      <c r="E149" s="24">
        <f>E150</f>
        <v>80</v>
      </c>
      <c r="F149" s="24">
        <f>F150</f>
        <v>80</v>
      </c>
      <c r="G149" s="221"/>
    </row>
    <row r="150" spans="1:7" ht="47.25">
      <c r="A150" s="46" t="s">
        <v>18</v>
      </c>
      <c r="B150" s="48" t="s">
        <v>148</v>
      </c>
      <c r="C150" s="40" t="s">
        <v>263</v>
      </c>
      <c r="D150" s="25" t="s">
        <v>13</v>
      </c>
      <c r="E150" s="49">
        <v>80</v>
      </c>
      <c r="F150" s="49">
        <v>80</v>
      </c>
      <c r="G150" s="221"/>
    </row>
    <row r="151" spans="1:7" ht="110.25">
      <c r="A151" s="46" t="s">
        <v>174</v>
      </c>
      <c r="B151" s="48" t="s">
        <v>148</v>
      </c>
      <c r="C151" s="40" t="s">
        <v>264</v>
      </c>
      <c r="D151" s="25"/>
      <c r="E151" s="24">
        <f>E152</f>
        <v>105</v>
      </c>
      <c r="F151" s="24">
        <f>F152</f>
        <v>110</v>
      </c>
      <c r="G151" s="235"/>
    </row>
    <row r="152" spans="1:7" ht="47.25">
      <c r="A152" s="46" t="s">
        <v>18</v>
      </c>
      <c r="B152" s="48" t="s">
        <v>148</v>
      </c>
      <c r="C152" s="40" t="s">
        <v>264</v>
      </c>
      <c r="D152" s="25" t="s">
        <v>13</v>
      </c>
      <c r="E152" s="49">
        <v>105</v>
      </c>
      <c r="F152" s="49">
        <v>110</v>
      </c>
      <c r="G152" s="221"/>
    </row>
    <row r="153" spans="1:7" ht="94.5">
      <c r="A153" s="46" t="s">
        <v>175</v>
      </c>
      <c r="B153" s="48" t="s">
        <v>148</v>
      </c>
      <c r="C153" s="40" t="s">
        <v>265</v>
      </c>
      <c r="D153" s="25"/>
      <c r="E153" s="24">
        <f>E154</f>
        <v>80</v>
      </c>
      <c r="F153" s="24">
        <f>F154</f>
        <v>80</v>
      </c>
      <c r="G153" s="235"/>
    </row>
    <row r="154" spans="1:7" ht="47.25">
      <c r="A154" s="46" t="s">
        <v>18</v>
      </c>
      <c r="B154" s="48" t="s">
        <v>148</v>
      </c>
      <c r="C154" s="40" t="s">
        <v>265</v>
      </c>
      <c r="D154" s="25" t="s">
        <v>13</v>
      </c>
      <c r="E154" s="49">
        <v>80</v>
      </c>
      <c r="F154" s="49">
        <v>80</v>
      </c>
      <c r="G154" s="221"/>
    </row>
    <row r="155" spans="1:7" ht="47.25">
      <c r="A155" s="110" t="s">
        <v>130</v>
      </c>
      <c r="B155" s="121" t="s">
        <v>148</v>
      </c>
      <c r="C155" s="104" t="s">
        <v>295</v>
      </c>
      <c r="D155" s="104" t="s">
        <v>0</v>
      </c>
      <c r="E155" s="111">
        <f>E156+E161+E168</f>
        <v>18908.6</v>
      </c>
      <c r="F155" s="111">
        <f>F156+F161+F168</f>
        <v>14263.3</v>
      </c>
      <c r="G155" s="221"/>
    </row>
    <row r="156" spans="1:7" ht="47.25">
      <c r="A156" s="12" t="s">
        <v>131</v>
      </c>
      <c r="B156" s="112" t="s">
        <v>148</v>
      </c>
      <c r="C156" s="13" t="s">
        <v>296</v>
      </c>
      <c r="D156" s="13" t="s">
        <v>0</v>
      </c>
      <c r="E156" s="14">
        <f>E157+E159</f>
        <v>50</v>
      </c>
      <c r="F156" s="14">
        <f>F157+F159</f>
        <v>50</v>
      </c>
      <c r="G156" s="221"/>
    </row>
    <row r="157" spans="1:7" ht="110.25">
      <c r="A157" s="16" t="s">
        <v>85</v>
      </c>
      <c r="B157" s="32" t="s">
        <v>148</v>
      </c>
      <c r="C157" s="17" t="s">
        <v>297</v>
      </c>
      <c r="D157" s="9"/>
      <c r="E157" s="10">
        <f>E158</f>
        <v>17</v>
      </c>
      <c r="F157" s="10">
        <f>F158</f>
        <v>17</v>
      </c>
      <c r="G157" s="235"/>
    </row>
    <row r="158" spans="1:7" ht="47.25">
      <c r="A158" s="46" t="s">
        <v>18</v>
      </c>
      <c r="B158" s="48" t="s">
        <v>148</v>
      </c>
      <c r="C158" s="17" t="s">
        <v>297</v>
      </c>
      <c r="D158" s="25" t="s">
        <v>13</v>
      </c>
      <c r="E158" s="49">
        <v>17</v>
      </c>
      <c r="F158" s="49">
        <v>17</v>
      </c>
      <c r="G158" s="225"/>
    </row>
    <row r="159" spans="1:7" ht="31.5">
      <c r="A159" s="46" t="s">
        <v>86</v>
      </c>
      <c r="B159" s="48" t="s">
        <v>148</v>
      </c>
      <c r="C159" s="17" t="s">
        <v>298</v>
      </c>
      <c r="D159" s="25"/>
      <c r="E159" s="49">
        <f>E160</f>
        <v>33</v>
      </c>
      <c r="F159" s="49">
        <f>F160</f>
        <v>33</v>
      </c>
      <c r="G159" s="235"/>
    </row>
    <row r="160" spans="1:7" ht="47.25">
      <c r="A160" s="46" t="s">
        <v>18</v>
      </c>
      <c r="B160" s="48" t="s">
        <v>148</v>
      </c>
      <c r="C160" s="17" t="s">
        <v>298</v>
      </c>
      <c r="D160" s="25" t="s">
        <v>13</v>
      </c>
      <c r="E160" s="49">
        <v>33</v>
      </c>
      <c r="F160" s="49">
        <v>33</v>
      </c>
      <c r="G160" s="221"/>
    </row>
    <row r="161" spans="1:7" ht="78.75">
      <c r="A161" s="12" t="s">
        <v>132</v>
      </c>
      <c r="B161" s="112" t="s">
        <v>148</v>
      </c>
      <c r="C161" s="13" t="s">
        <v>237</v>
      </c>
      <c r="D161" s="13" t="s">
        <v>0</v>
      </c>
      <c r="E161" s="14">
        <f>E162+E164+E166</f>
        <v>18758.6</v>
      </c>
      <c r="F161" s="14">
        <f>F162+F164+F166</f>
        <v>14113.3</v>
      </c>
      <c r="G161" s="221"/>
    </row>
    <row r="162" spans="1:7" ht="204.75">
      <c r="A162" s="240" t="s">
        <v>108</v>
      </c>
      <c r="B162" s="48" t="s">
        <v>148</v>
      </c>
      <c r="C162" s="17" t="s">
        <v>304</v>
      </c>
      <c r="D162" s="48"/>
      <c r="E162" s="49">
        <f>E163</f>
        <v>16149.3</v>
      </c>
      <c r="F162" s="49">
        <f>F163</f>
        <v>11503.9</v>
      </c>
      <c r="G162" s="222"/>
    </row>
    <row r="163" spans="1:7" ht="63">
      <c r="A163" s="26" t="s">
        <v>40</v>
      </c>
      <c r="B163" s="48" t="s">
        <v>148</v>
      </c>
      <c r="C163" s="48" t="s">
        <v>304</v>
      </c>
      <c r="D163" s="25" t="s">
        <v>35</v>
      </c>
      <c r="E163" s="49">
        <v>16149.3</v>
      </c>
      <c r="F163" s="49">
        <v>11503.9</v>
      </c>
      <c r="G163" s="221"/>
    </row>
    <row r="164" spans="1:7" ht="126">
      <c r="A164" s="26" t="s">
        <v>110</v>
      </c>
      <c r="B164" s="48" t="s">
        <v>148</v>
      </c>
      <c r="C164" s="17" t="s">
        <v>303</v>
      </c>
      <c r="D164" s="48"/>
      <c r="E164" s="49">
        <f>E165</f>
        <v>2109.3</v>
      </c>
      <c r="F164" s="49">
        <f>F165</f>
        <v>2109.4</v>
      </c>
      <c r="G164" s="221"/>
    </row>
    <row r="165" spans="1:7" ht="31.5">
      <c r="A165" s="26" t="s">
        <v>38</v>
      </c>
      <c r="B165" s="48" t="s">
        <v>148</v>
      </c>
      <c r="C165" s="17" t="s">
        <v>303</v>
      </c>
      <c r="D165" s="48" t="s">
        <v>22</v>
      </c>
      <c r="E165" s="49">
        <v>2109.3</v>
      </c>
      <c r="F165" s="49">
        <v>2109.4</v>
      </c>
      <c r="G165" s="221"/>
    </row>
    <row r="166" spans="1:7" ht="63">
      <c r="A166" s="26" t="s">
        <v>52</v>
      </c>
      <c r="B166" s="48" t="s">
        <v>148</v>
      </c>
      <c r="C166" s="17" t="s">
        <v>471</v>
      </c>
      <c r="D166" s="48"/>
      <c r="E166" s="49">
        <f>E167</f>
        <v>500</v>
      </c>
      <c r="F166" s="49">
        <f>F167</f>
        <v>500</v>
      </c>
      <c r="G166" s="222"/>
    </row>
    <row r="167" spans="1:7" ht="31.5">
      <c r="A167" s="26" t="s">
        <v>38</v>
      </c>
      <c r="B167" s="48" t="s">
        <v>148</v>
      </c>
      <c r="C167" s="17" t="s">
        <v>471</v>
      </c>
      <c r="D167" s="48" t="s">
        <v>22</v>
      </c>
      <c r="E167" s="49">
        <v>500</v>
      </c>
      <c r="F167" s="49">
        <v>500</v>
      </c>
      <c r="G167" s="221"/>
    </row>
    <row r="168" spans="1:7" ht="47.25">
      <c r="A168" s="12" t="s">
        <v>133</v>
      </c>
      <c r="B168" s="112" t="s">
        <v>148</v>
      </c>
      <c r="C168" s="13" t="s">
        <v>300</v>
      </c>
      <c r="D168" s="13" t="s">
        <v>0</v>
      </c>
      <c r="E168" s="14">
        <f>E169+E171</f>
        <v>100</v>
      </c>
      <c r="F168" s="14">
        <f>F169+F171</f>
        <v>100</v>
      </c>
      <c r="G168" s="222"/>
    </row>
    <row r="169" spans="1:7" ht="63">
      <c r="A169" s="16" t="s">
        <v>53</v>
      </c>
      <c r="B169" s="32" t="s">
        <v>148</v>
      </c>
      <c r="C169" s="17" t="s">
        <v>301</v>
      </c>
      <c r="D169" s="9"/>
      <c r="E169" s="19">
        <f>E170</f>
        <v>80</v>
      </c>
      <c r="F169" s="19">
        <f>F170</f>
        <v>80</v>
      </c>
      <c r="G169" s="221"/>
    </row>
    <row r="170" spans="1:7" ht="63">
      <c r="A170" s="88" t="s">
        <v>15</v>
      </c>
      <c r="B170" s="48" t="s">
        <v>148</v>
      </c>
      <c r="C170" s="17" t="s">
        <v>301</v>
      </c>
      <c r="D170" s="48" t="s">
        <v>16</v>
      </c>
      <c r="E170" s="49">
        <v>80</v>
      </c>
      <c r="F170" s="49">
        <v>80</v>
      </c>
      <c r="G170" s="222"/>
    </row>
    <row r="171" spans="1:7" ht="63">
      <c r="A171" s="46" t="s">
        <v>456</v>
      </c>
      <c r="B171" s="48" t="s">
        <v>148</v>
      </c>
      <c r="C171" s="17" t="s">
        <v>457</v>
      </c>
      <c r="D171" s="48"/>
      <c r="E171" s="49">
        <f>E172</f>
        <v>20</v>
      </c>
      <c r="F171" s="49">
        <f>F172</f>
        <v>20</v>
      </c>
      <c r="G171" s="221"/>
    </row>
    <row r="172" spans="1:7" ht="63">
      <c r="A172" s="88" t="s">
        <v>15</v>
      </c>
      <c r="B172" s="48" t="s">
        <v>148</v>
      </c>
      <c r="C172" s="17" t="s">
        <v>457</v>
      </c>
      <c r="D172" s="48" t="s">
        <v>16</v>
      </c>
      <c r="E172" s="49">
        <v>20</v>
      </c>
      <c r="F172" s="49">
        <v>20</v>
      </c>
      <c r="G172" s="222"/>
    </row>
    <row r="173" spans="1:8" ht="31.5">
      <c r="A173" s="103" t="s">
        <v>43</v>
      </c>
      <c r="B173" s="105" t="s">
        <v>148</v>
      </c>
      <c r="C173" s="105" t="s">
        <v>188</v>
      </c>
      <c r="D173" s="104" t="s">
        <v>0</v>
      </c>
      <c r="E173" s="106">
        <f>E178+E174+E176</f>
        <v>15312</v>
      </c>
      <c r="F173" s="106">
        <f>F178+F174+F176</f>
        <v>5312</v>
      </c>
      <c r="G173" s="148"/>
      <c r="H173" s="148"/>
    </row>
    <row r="174" spans="1:8" ht="47.25">
      <c r="A174" s="26" t="s">
        <v>101</v>
      </c>
      <c r="B174" s="32" t="s">
        <v>148</v>
      </c>
      <c r="C174" s="48" t="s">
        <v>196</v>
      </c>
      <c r="D174" s="206"/>
      <c r="E174" s="49">
        <f>E175</f>
        <v>13277.2</v>
      </c>
      <c r="F174" s="49">
        <f>F175</f>
        <v>3277.2</v>
      </c>
      <c r="G174" s="148"/>
      <c r="H174" s="148"/>
    </row>
    <row r="175" spans="1:6" ht="15.75">
      <c r="A175" s="53" t="s">
        <v>14</v>
      </c>
      <c r="B175" s="48" t="s">
        <v>148</v>
      </c>
      <c r="C175" s="48" t="s">
        <v>196</v>
      </c>
      <c r="D175" s="25" t="s">
        <v>17</v>
      </c>
      <c r="E175" s="49">
        <f>15000-3723+0.2+2000</f>
        <v>13277.2</v>
      </c>
      <c r="F175" s="49">
        <f>5000-3723+0.2+2000</f>
        <v>3277.2</v>
      </c>
    </row>
    <row r="176" spans="1:8" ht="78.75">
      <c r="A176" s="53" t="s">
        <v>102</v>
      </c>
      <c r="B176" s="48" t="s">
        <v>148</v>
      </c>
      <c r="C176" s="48" t="s">
        <v>198</v>
      </c>
      <c r="D176" s="25"/>
      <c r="E176" s="56">
        <f>E177</f>
        <v>634.8</v>
      </c>
      <c r="F176" s="56">
        <f>F177</f>
        <v>634.8</v>
      </c>
      <c r="G176" s="3"/>
      <c r="H176" s="3"/>
    </row>
    <row r="177" spans="1:6" ht="31.5">
      <c r="A177" s="53" t="s">
        <v>38</v>
      </c>
      <c r="B177" s="48" t="s">
        <v>148</v>
      </c>
      <c r="C177" s="48" t="s">
        <v>198</v>
      </c>
      <c r="D177" s="25" t="s">
        <v>22</v>
      </c>
      <c r="E177" s="49">
        <v>634.8</v>
      </c>
      <c r="F177" s="49">
        <v>634.8</v>
      </c>
    </row>
    <row r="178" spans="1:6" ht="78.75">
      <c r="A178" s="241" t="s">
        <v>458</v>
      </c>
      <c r="B178" s="215">
        <v>923</v>
      </c>
      <c r="C178" s="214" t="s">
        <v>459</v>
      </c>
      <c r="D178" s="242"/>
      <c r="E178" s="216">
        <f>E179</f>
        <v>1400</v>
      </c>
      <c r="F178" s="216">
        <f>F179</f>
        <v>1400</v>
      </c>
    </row>
    <row r="179" spans="1:6" ht="15.75">
      <c r="A179" s="70" t="s">
        <v>14</v>
      </c>
      <c r="B179" s="215">
        <v>923</v>
      </c>
      <c r="C179" s="214" t="s">
        <v>459</v>
      </c>
      <c r="D179" s="242">
        <v>800</v>
      </c>
      <c r="E179" s="49">
        <v>1400</v>
      </c>
      <c r="F179" s="49">
        <v>1400</v>
      </c>
    </row>
    <row r="180" spans="1:6" ht="47.25">
      <c r="A180" s="37" t="s">
        <v>154</v>
      </c>
      <c r="B180" s="38" t="s">
        <v>155</v>
      </c>
      <c r="C180" s="109"/>
      <c r="D180" s="109"/>
      <c r="E180" s="36">
        <f>E181+E203</f>
        <v>123301.39999999998</v>
      </c>
      <c r="F180" s="36">
        <f>F181+F203</f>
        <v>123344.7</v>
      </c>
    </row>
    <row r="181" spans="1:6" ht="47.25">
      <c r="A181" s="110" t="s">
        <v>122</v>
      </c>
      <c r="B181" s="104" t="s">
        <v>155</v>
      </c>
      <c r="C181" s="104" t="s">
        <v>242</v>
      </c>
      <c r="D181" s="104" t="s">
        <v>0</v>
      </c>
      <c r="E181" s="111">
        <f>E182+E184+E186+E188+E190+E192+E194+E198</f>
        <v>122218.49999999999</v>
      </c>
      <c r="F181" s="111">
        <f>F182+F184+F186+F188+F190+F192+F194+F198</f>
        <v>122258.9</v>
      </c>
    </row>
    <row r="182" spans="1:6" ht="47.25">
      <c r="A182" s="46" t="s">
        <v>73</v>
      </c>
      <c r="B182" s="48" t="s">
        <v>155</v>
      </c>
      <c r="C182" s="48" t="s">
        <v>241</v>
      </c>
      <c r="D182" s="48"/>
      <c r="E182" s="41">
        <f>E183</f>
        <v>27370.5</v>
      </c>
      <c r="F182" s="41">
        <f>F183</f>
        <v>27380.1</v>
      </c>
    </row>
    <row r="183" spans="1:6" ht="63">
      <c r="A183" s="88" t="s">
        <v>15</v>
      </c>
      <c r="B183" s="48" t="s">
        <v>155</v>
      </c>
      <c r="C183" s="48" t="s">
        <v>241</v>
      </c>
      <c r="D183" s="48" t="s">
        <v>16</v>
      </c>
      <c r="E183" s="24">
        <f>27471-100.5</f>
        <v>27370.5</v>
      </c>
      <c r="F183" s="49">
        <f>27480.6-100.5</f>
        <v>27380.1</v>
      </c>
    </row>
    <row r="184" spans="1:6" ht="47.25">
      <c r="A184" s="46" t="s">
        <v>343</v>
      </c>
      <c r="B184" s="48" t="s">
        <v>155</v>
      </c>
      <c r="C184" s="48" t="s">
        <v>341</v>
      </c>
      <c r="D184" s="48"/>
      <c r="E184" s="24">
        <f>E185</f>
        <v>149.4</v>
      </c>
      <c r="F184" s="24">
        <f>F185</f>
        <v>149.4</v>
      </c>
    </row>
    <row r="185" spans="1:6" ht="63">
      <c r="A185" s="88" t="s">
        <v>15</v>
      </c>
      <c r="B185" s="48" t="s">
        <v>155</v>
      </c>
      <c r="C185" s="48" t="s">
        <v>341</v>
      </c>
      <c r="D185" s="48" t="s">
        <v>16</v>
      </c>
      <c r="E185" s="24">
        <v>149.4</v>
      </c>
      <c r="F185" s="24">
        <v>149.4</v>
      </c>
    </row>
    <row r="186" spans="1:6" ht="47.25">
      <c r="A186" s="46" t="s">
        <v>344</v>
      </c>
      <c r="B186" s="48" t="s">
        <v>155</v>
      </c>
      <c r="C186" s="48" t="s">
        <v>342</v>
      </c>
      <c r="D186" s="48"/>
      <c r="E186" s="24">
        <f>E187</f>
        <v>100.5</v>
      </c>
      <c r="F186" s="24">
        <f>F187</f>
        <v>100.5</v>
      </c>
    </row>
    <row r="187" spans="1:6" ht="63">
      <c r="A187" s="88" t="s">
        <v>15</v>
      </c>
      <c r="B187" s="48" t="s">
        <v>155</v>
      </c>
      <c r="C187" s="48" t="s">
        <v>342</v>
      </c>
      <c r="D187" s="48" t="s">
        <v>16</v>
      </c>
      <c r="E187" s="24">
        <v>100.5</v>
      </c>
      <c r="F187" s="24">
        <v>100.5</v>
      </c>
    </row>
    <row r="188" spans="1:6" ht="47.25">
      <c r="A188" s="46" t="s">
        <v>75</v>
      </c>
      <c r="B188" s="48" t="s">
        <v>155</v>
      </c>
      <c r="C188" s="48" t="s">
        <v>243</v>
      </c>
      <c r="D188" s="48"/>
      <c r="E188" s="49">
        <f>E189</f>
        <v>43683.5</v>
      </c>
      <c r="F188" s="24">
        <f>F189</f>
        <v>43698.7</v>
      </c>
    </row>
    <row r="189" spans="1:6" ht="63">
      <c r="A189" s="88" t="s">
        <v>15</v>
      </c>
      <c r="B189" s="48" t="s">
        <v>155</v>
      </c>
      <c r="C189" s="48" t="s">
        <v>243</v>
      </c>
      <c r="D189" s="48" t="s">
        <v>16</v>
      </c>
      <c r="E189" s="49">
        <f>43782.9-99.4</f>
        <v>43683.5</v>
      </c>
      <c r="F189" s="49">
        <f>43798.1-99.4</f>
        <v>43698.7</v>
      </c>
    </row>
    <row r="190" spans="1:6" ht="63">
      <c r="A190" s="46" t="s">
        <v>74</v>
      </c>
      <c r="B190" s="48" t="s">
        <v>155</v>
      </c>
      <c r="C190" s="48" t="s">
        <v>244</v>
      </c>
      <c r="D190" s="48"/>
      <c r="E190" s="49">
        <f>E191</f>
        <v>21668.5</v>
      </c>
      <c r="F190" s="24">
        <f>F191</f>
        <v>21676.1</v>
      </c>
    </row>
    <row r="191" spans="1:6" ht="63">
      <c r="A191" s="164" t="s">
        <v>15</v>
      </c>
      <c r="B191" s="48" t="s">
        <v>155</v>
      </c>
      <c r="C191" s="48" t="s">
        <v>244</v>
      </c>
      <c r="D191" s="48" t="s">
        <v>16</v>
      </c>
      <c r="E191" s="49">
        <f>21718.5-50</f>
        <v>21668.5</v>
      </c>
      <c r="F191" s="49">
        <f>21726.1-50</f>
        <v>21676.1</v>
      </c>
    </row>
    <row r="192" spans="1:6" ht="31.5">
      <c r="A192" s="46" t="s">
        <v>325</v>
      </c>
      <c r="B192" s="48" t="s">
        <v>155</v>
      </c>
      <c r="C192" s="48" t="s">
        <v>326</v>
      </c>
      <c r="D192" s="48"/>
      <c r="E192" s="49">
        <f>E193</f>
        <v>20</v>
      </c>
      <c r="F192" s="24">
        <f>F193</f>
        <v>20</v>
      </c>
    </row>
    <row r="193" spans="1:6" ht="31.5">
      <c r="A193" s="88" t="s">
        <v>38</v>
      </c>
      <c r="B193" s="48" t="s">
        <v>155</v>
      </c>
      <c r="C193" s="48" t="s">
        <v>326</v>
      </c>
      <c r="D193" s="48" t="s">
        <v>22</v>
      </c>
      <c r="E193" s="49">
        <v>20</v>
      </c>
      <c r="F193" s="49">
        <v>20</v>
      </c>
    </row>
    <row r="194" spans="1:8" ht="31.5">
      <c r="A194" s="46" t="s">
        <v>30</v>
      </c>
      <c r="B194" s="48" t="s">
        <v>155</v>
      </c>
      <c r="C194" s="48" t="s">
        <v>245</v>
      </c>
      <c r="D194" s="48"/>
      <c r="E194" s="24">
        <f>E195+E196+E197</f>
        <v>7388.4</v>
      </c>
      <c r="F194" s="24">
        <f>F195+F196+F197</f>
        <v>7388.799999999999</v>
      </c>
      <c r="G194" s="222"/>
      <c r="H194" s="148"/>
    </row>
    <row r="195" spans="1:8" ht="126">
      <c r="A195" s="26" t="s">
        <v>20</v>
      </c>
      <c r="B195" s="48" t="s">
        <v>155</v>
      </c>
      <c r="C195" s="48" t="s">
        <v>245</v>
      </c>
      <c r="D195" s="48" t="s">
        <v>21</v>
      </c>
      <c r="E195" s="49">
        <f>6373.9+27.5</f>
        <v>6401.4</v>
      </c>
      <c r="F195" s="49">
        <f>6373.9+27.5</f>
        <v>6401.4</v>
      </c>
      <c r="G195" s="148"/>
      <c r="H195" s="148"/>
    </row>
    <row r="196" spans="1:6" ht="47.25">
      <c r="A196" s="65" t="s">
        <v>18</v>
      </c>
      <c r="B196" s="48" t="s">
        <v>155</v>
      </c>
      <c r="C196" s="48" t="s">
        <v>245</v>
      </c>
      <c r="D196" s="48" t="s">
        <v>13</v>
      </c>
      <c r="E196" s="41">
        <f>993-27.5</f>
        <v>965.5</v>
      </c>
      <c r="F196" s="41">
        <f>993.4-27.5</f>
        <v>965.9</v>
      </c>
    </row>
    <row r="197" spans="1:6" ht="15.75">
      <c r="A197" s="65" t="s">
        <v>14</v>
      </c>
      <c r="B197" s="48" t="s">
        <v>155</v>
      </c>
      <c r="C197" s="48" t="s">
        <v>245</v>
      </c>
      <c r="D197" s="48" t="s">
        <v>17</v>
      </c>
      <c r="E197" s="41">
        <v>21.5</v>
      </c>
      <c r="F197" s="41">
        <v>21.5</v>
      </c>
    </row>
    <row r="198" spans="1:6" ht="47.25">
      <c r="A198" s="46" t="s">
        <v>72</v>
      </c>
      <c r="B198" s="48" t="s">
        <v>155</v>
      </c>
      <c r="C198" s="48" t="s">
        <v>246</v>
      </c>
      <c r="D198" s="48"/>
      <c r="E198" s="49">
        <f>E202+E201+E200+E199</f>
        <v>21837.7</v>
      </c>
      <c r="F198" s="49">
        <f>F202+F201+F200+F199</f>
        <v>21845.300000000003</v>
      </c>
    </row>
    <row r="199" spans="1:6" ht="126">
      <c r="A199" s="26" t="s">
        <v>20</v>
      </c>
      <c r="B199" s="48" t="s">
        <v>155</v>
      </c>
      <c r="C199" s="48" t="s">
        <v>246</v>
      </c>
      <c r="D199" s="48" t="s">
        <v>21</v>
      </c>
      <c r="E199" s="49">
        <f>12338.3+8195.6</f>
        <v>20533.9</v>
      </c>
      <c r="F199" s="49">
        <f>12338.3+8195.6</f>
        <v>20533.9</v>
      </c>
    </row>
    <row r="200" spans="1:6" ht="47.25">
      <c r="A200" s="65" t="s">
        <v>18</v>
      </c>
      <c r="B200" s="48" t="s">
        <v>155</v>
      </c>
      <c r="C200" s="48" t="s">
        <v>246</v>
      </c>
      <c r="D200" s="48" t="s">
        <v>13</v>
      </c>
      <c r="E200" s="49">
        <f>622.8+660.7</f>
        <v>1283.5</v>
      </c>
      <c r="F200" s="49">
        <f>627.3+663.8</f>
        <v>1291.1</v>
      </c>
    </row>
    <row r="201" spans="1:6" ht="63">
      <c r="A201" s="87" t="s">
        <v>15</v>
      </c>
      <c r="B201" s="48" t="s">
        <v>155</v>
      </c>
      <c r="C201" s="48" t="s">
        <v>246</v>
      </c>
      <c r="D201" s="48" t="s">
        <v>16</v>
      </c>
      <c r="E201" s="49">
        <f>8859.6-8859.6</f>
        <v>0</v>
      </c>
      <c r="F201" s="49">
        <f>8862.7-8862.7</f>
        <v>0</v>
      </c>
    </row>
    <row r="202" spans="1:6" ht="15.75">
      <c r="A202" s="65" t="s">
        <v>14</v>
      </c>
      <c r="B202" s="48" t="s">
        <v>155</v>
      </c>
      <c r="C202" s="48" t="s">
        <v>246</v>
      </c>
      <c r="D202" s="48" t="s">
        <v>17</v>
      </c>
      <c r="E202" s="49">
        <f>17+3.3</f>
        <v>20.3</v>
      </c>
      <c r="F202" s="49">
        <f>17+3.3</f>
        <v>20.3</v>
      </c>
    </row>
    <row r="203" spans="1:6" ht="31.5">
      <c r="A203" s="103" t="s">
        <v>43</v>
      </c>
      <c r="B203" s="105" t="s">
        <v>156</v>
      </c>
      <c r="C203" s="105" t="s">
        <v>188</v>
      </c>
      <c r="D203" s="105"/>
      <c r="E203" s="106">
        <f>E204</f>
        <v>1082.9</v>
      </c>
      <c r="F203" s="106">
        <f>F204</f>
        <v>1085.8</v>
      </c>
    </row>
    <row r="204" spans="1:6" ht="47.25">
      <c r="A204" s="52" t="s">
        <v>70</v>
      </c>
      <c r="B204" s="48" t="s">
        <v>155</v>
      </c>
      <c r="C204" s="48" t="s">
        <v>202</v>
      </c>
      <c r="D204" s="48"/>
      <c r="E204" s="49">
        <f>E205</f>
        <v>1082.9</v>
      </c>
      <c r="F204" s="49">
        <f>F205</f>
        <v>1085.8</v>
      </c>
    </row>
    <row r="205" spans="1:6" ht="189">
      <c r="A205" s="55" t="s">
        <v>157</v>
      </c>
      <c r="B205" s="48" t="s">
        <v>155</v>
      </c>
      <c r="C205" s="48" t="s">
        <v>203</v>
      </c>
      <c r="D205" s="48"/>
      <c r="E205" s="49">
        <f>E206+E207</f>
        <v>1082.9</v>
      </c>
      <c r="F205" s="49">
        <f>F206+F207</f>
        <v>1085.8</v>
      </c>
    </row>
    <row r="206" spans="1:6" ht="31.5">
      <c r="A206" s="52" t="s">
        <v>38</v>
      </c>
      <c r="B206" s="48" t="s">
        <v>155</v>
      </c>
      <c r="C206" s="48" t="s">
        <v>203</v>
      </c>
      <c r="D206" s="48" t="s">
        <v>22</v>
      </c>
      <c r="E206" s="49">
        <v>127.8</v>
      </c>
      <c r="F206" s="49">
        <v>132.9</v>
      </c>
    </row>
    <row r="207" spans="1:6" ht="63">
      <c r="A207" s="88" t="s">
        <v>15</v>
      </c>
      <c r="B207" s="48" t="s">
        <v>155</v>
      </c>
      <c r="C207" s="48" t="s">
        <v>203</v>
      </c>
      <c r="D207" s="48" t="s">
        <v>16</v>
      </c>
      <c r="E207" s="49">
        <v>955.1</v>
      </c>
      <c r="F207" s="49">
        <v>952.9</v>
      </c>
    </row>
    <row r="208" spans="1:6" ht="63">
      <c r="A208" s="37" t="s">
        <v>158</v>
      </c>
      <c r="B208" s="38" t="s">
        <v>159</v>
      </c>
      <c r="C208" s="109"/>
      <c r="D208" s="123"/>
      <c r="E208" s="36">
        <f>E209+E213</f>
        <v>22944</v>
      </c>
      <c r="F208" s="36">
        <f>F209+F213</f>
        <v>22944</v>
      </c>
    </row>
    <row r="209" spans="1:6" ht="63">
      <c r="A209" s="110" t="s">
        <v>98</v>
      </c>
      <c r="B209" s="105" t="s">
        <v>159</v>
      </c>
      <c r="C209" s="104" t="s">
        <v>306</v>
      </c>
      <c r="D209" s="104" t="s">
        <v>0</v>
      </c>
      <c r="E209" s="111">
        <f aca="true" t="shared" si="0" ref="E209:F211">E210</f>
        <v>500</v>
      </c>
      <c r="F209" s="111">
        <f t="shared" si="0"/>
        <v>500</v>
      </c>
    </row>
    <row r="210" spans="1:6" ht="63">
      <c r="A210" s="243" t="s">
        <v>472</v>
      </c>
      <c r="B210" s="244" t="s">
        <v>159</v>
      </c>
      <c r="C210" s="245" t="s">
        <v>307</v>
      </c>
      <c r="D210" s="245" t="s">
        <v>0</v>
      </c>
      <c r="E210" s="246">
        <f t="shared" si="0"/>
        <v>500</v>
      </c>
      <c r="F210" s="246">
        <f t="shared" si="0"/>
        <v>500</v>
      </c>
    </row>
    <row r="211" spans="1:6" ht="47.25">
      <c r="A211" s="247" t="s">
        <v>103</v>
      </c>
      <c r="B211" s="48" t="s">
        <v>159</v>
      </c>
      <c r="C211" s="248" t="s">
        <v>320</v>
      </c>
      <c r="D211" s="248"/>
      <c r="E211" s="22">
        <f t="shared" si="0"/>
        <v>500</v>
      </c>
      <c r="F211" s="22">
        <f t="shared" si="0"/>
        <v>500</v>
      </c>
    </row>
    <row r="212" spans="1:8" ht="47.25">
      <c r="A212" s="62" t="s">
        <v>18</v>
      </c>
      <c r="B212" s="48" t="s">
        <v>159</v>
      </c>
      <c r="C212" s="248" t="s">
        <v>320</v>
      </c>
      <c r="D212" s="248" t="s">
        <v>13</v>
      </c>
      <c r="E212" s="49">
        <v>500</v>
      </c>
      <c r="F212" s="49">
        <v>500</v>
      </c>
      <c r="G212" s="148"/>
      <c r="H212" s="148"/>
    </row>
    <row r="213" spans="1:8" ht="63">
      <c r="A213" s="110" t="s">
        <v>123</v>
      </c>
      <c r="B213" s="105" t="s">
        <v>159</v>
      </c>
      <c r="C213" s="104" t="s">
        <v>271</v>
      </c>
      <c r="D213" s="104" t="s">
        <v>0</v>
      </c>
      <c r="E213" s="111">
        <f>E214</f>
        <v>22444</v>
      </c>
      <c r="F213" s="111">
        <f>F214</f>
        <v>22444</v>
      </c>
      <c r="G213" s="148"/>
      <c r="H213" s="148"/>
    </row>
    <row r="214" spans="1:6" ht="47.25">
      <c r="A214" s="12" t="s">
        <v>125</v>
      </c>
      <c r="B214" s="112" t="s">
        <v>159</v>
      </c>
      <c r="C214" s="13" t="s">
        <v>274</v>
      </c>
      <c r="D214" s="13" t="s">
        <v>0</v>
      </c>
      <c r="E214" s="14">
        <f>E215+E217+E219+E223</f>
        <v>22444</v>
      </c>
      <c r="F214" s="14">
        <f>F215+F217+F219+F223</f>
        <v>22444</v>
      </c>
    </row>
    <row r="215" spans="1:8" ht="78.75">
      <c r="A215" s="50" t="s">
        <v>87</v>
      </c>
      <c r="B215" s="48" t="s">
        <v>159</v>
      </c>
      <c r="C215" s="48" t="s">
        <v>275</v>
      </c>
      <c r="D215" s="25"/>
      <c r="E215" s="24">
        <f>E216</f>
        <v>3400</v>
      </c>
      <c r="F215" s="24">
        <f>F216</f>
        <v>3400</v>
      </c>
      <c r="H215" s="149"/>
    </row>
    <row r="216" spans="1:6" ht="47.25">
      <c r="A216" s="51" t="s">
        <v>18</v>
      </c>
      <c r="B216" s="48" t="s">
        <v>159</v>
      </c>
      <c r="C216" s="48" t="s">
        <v>275</v>
      </c>
      <c r="D216" s="48" t="s">
        <v>13</v>
      </c>
      <c r="E216" s="49">
        <v>3400</v>
      </c>
      <c r="F216" s="49">
        <v>3400</v>
      </c>
    </row>
    <row r="217" spans="1:8" ht="31.5">
      <c r="A217" s="50" t="s">
        <v>23</v>
      </c>
      <c r="B217" s="48" t="s">
        <v>159</v>
      </c>
      <c r="C217" s="48" t="s">
        <v>276</v>
      </c>
      <c r="D217" s="25"/>
      <c r="E217" s="24">
        <f>E218</f>
        <v>300</v>
      </c>
      <c r="F217" s="24">
        <f>F218</f>
        <v>300</v>
      </c>
      <c r="H217" s="149"/>
    </row>
    <row r="218" spans="1:6" ht="47.25">
      <c r="A218" s="51" t="s">
        <v>18</v>
      </c>
      <c r="B218" s="48" t="s">
        <v>159</v>
      </c>
      <c r="C218" s="48" t="s">
        <v>276</v>
      </c>
      <c r="D218" s="48" t="s">
        <v>13</v>
      </c>
      <c r="E218" s="49">
        <v>300</v>
      </c>
      <c r="F218" s="49">
        <v>300</v>
      </c>
    </row>
    <row r="219" spans="1:8" ht="47.25">
      <c r="A219" s="50" t="s">
        <v>19</v>
      </c>
      <c r="B219" s="48" t="s">
        <v>159</v>
      </c>
      <c r="C219" s="48" t="s">
        <v>277</v>
      </c>
      <c r="D219" s="25"/>
      <c r="E219" s="24">
        <f>SUM(E220:E222)</f>
        <v>14359.1</v>
      </c>
      <c r="F219" s="24">
        <f>SUM(F220:F222)</f>
        <v>14359.1</v>
      </c>
      <c r="H219" s="249"/>
    </row>
    <row r="220" spans="1:6" ht="126">
      <c r="A220" s="63" t="s">
        <v>20</v>
      </c>
      <c r="B220" s="48" t="s">
        <v>159</v>
      </c>
      <c r="C220" s="48" t="s">
        <v>277</v>
      </c>
      <c r="D220" s="48" t="s">
        <v>21</v>
      </c>
      <c r="E220" s="49">
        <f>12299.6+55</f>
        <v>12354.6</v>
      </c>
      <c r="F220" s="49">
        <f>12299.6+55</f>
        <v>12354.6</v>
      </c>
    </row>
    <row r="221" spans="1:6" ht="47.25">
      <c r="A221" s="51" t="s">
        <v>18</v>
      </c>
      <c r="B221" s="48" t="s">
        <v>159</v>
      </c>
      <c r="C221" s="48" t="s">
        <v>277</v>
      </c>
      <c r="D221" s="48" t="s">
        <v>13</v>
      </c>
      <c r="E221" s="49">
        <f>2039.5-55</f>
        <v>1984.5</v>
      </c>
      <c r="F221" s="49">
        <f>2039.5-55</f>
        <v>1984.5</v>
      </c>
    </row>
    <row r="222" spans="1:6" ht="15.75">
      <c r="A222" s="51" t="s">
        <v>14</v>
      </c>
      <c r="B222" s="48" t="s">
        <v>159</v>
      </c>
      <c r="C222" s="48" t="s">
        <v>277</v>
      </c>
      <c r="D222" s="48" t="s">
        <v>17</v>
      </c>
      <c r="E222" s="49">
        <v>20</v>
      </c>
      <c r="F222" s="49">
        <v>20</v>
      </c>
    </row>
    <row r="223" spans="1:6" ht="47.25">
      <c r="A223" s="50" t="s">
        <v>24</v>
      </c>
      <c r="B223" s="48" t="s">
        <v>159</v>
      </c>
      <c r="C223" s="48" t="s">
        <v>278</v>
      </c>
      <c r="D223" s="25"/>
      <c r="E223" s="24">
        <f>E224+E225</f>
        <v>4384.9</v>
      </c>
      <c r="F223" s="24">
        <f>F224+F225</f>
        <v>4384.9</v>
      </c>
    </row>
    <row r="224" spans="1:8" ht="47.25">
      <c r="A224" s="51" t="s">
        <v>18</v>
      </c>
      <c r="B224" s="48" t="s">
        <v>159</v>
      </c>
      <c r="C224" s="48" t="s">
        <v>278</v>
      </c>
      <c r="D224" s="48" t="s">
        <v>13</v>
      </c>
      <c r="E224" s="49">
        <v>2484.9</v>
      </c>
      <c r="F224" s="49">
        <v>2484.9</v>
      </c>
      <c r="H224" s="149"/>
    </row>
    <row r="225" spans="1:6" ht="15.75">
      <c r="A225" s="86" t="s">
        <v>14</v>
      </c>
      <c r="B225" s="48" t="s">
        <v>159</v>
      </c>
      <c r="C225" s="48" t="s">
        <v>278</v>
      </c>
      <c r="D225" s="48" t="s">
        <v>17</v>
      </c>
      <c r="E225" s="49">
        <v>1900</v>
      </c>
      <c r="F225" s="49">
        <v>1900</v>
      </c>
    </row>
    <row r="226" spans="1:6" ht="47.25">
      <c r="A226" s="37" t="s">
        <v>160</v>
      </c>
      <c r="B226" s="38" t="s">
        <v>161</v>
      </c>
      <c r="C226" s="124"/>
      <c r="D226" s="124"/>
      <c r="E226" s="36">
        <f>E227</f>
        <v>992103.0999999999</v>
      </c>
      <c r="F226" s="36">
        <f>F227</f>
        <v>991621.7999999999</v>
      </c>
    </row>
    <row r="227" spans="1:6" ht="47.25">
      <c r="A227" s="110" t="s">
        <v>118</v>
      </c>
      <c r="B227" s="105" t="s">
        <v>161</v>
      </c>
      <c r="C227" s="104" t="s">
        <v>205</v>
      </c>
      <c r="D227" s="104" t="s">
        <v>0</v>
      </c>
      <c r="E227" s="126">
        <f>E228+E238+E247+E252</f>
        <v>992103.0999999999</v>
      </c>
      <c r="F227" s="126">
        <f>F228+F238+F247+F252</f>
        <v>991621.7999999999</v>
      </c>
    </row>
    <row r="228" spans="1:6" ht="47.25">
      <c r="A228" s="12" t="s">
        <v>162</v>
      </c>
      <c r="B228" s="125" t="s">
        <v>161</v>
      </c>
      <c r="C228" s="13" t="s">
        <v>206</v>
      </c>
      <c r="D228" s="13" t="s">
        <v>0</v>
      </c>
      <c r="E228" s="132">
        <f>E229+E231+E233+E236</f>
        <v>396391.19999999995</v>
      </c>
      <c r="F228" s="132">
        <f>F229+F231+F233+F236</f>
        <v>396313.29999999993</v>
      </c>
    </row>
    <row r="229" spans="1:6" ht="47.25">
      <c r="A229" s="27" t="s">
        <v>36</v>
      </c>
      <c r="B229" s="25" t="s">
        <v>161</v>
      </c>
      <c r="C229" s="25" t="s">
        <v>204</v>
      </c>
      <c r="D229" s="25"/>
      <c r="E229" s="41">
        <f>E230</f>
        <v>75217.6</v>
      </c>
      <c r="F229" s="41">
        <f>F230</f>
        <v>75595.6</v>
      </c>
    </row>
    <row r="230" spans="1:6" ht="63">
      <c r="A230" s="46" t="s">
        <v>15</v>
      </c>
      <c r="B230" s="48" t="s">
        <v>161</v>
      </c>
      <c r="C230" s="48" t="s">
        <v>204</v>
      </c>
      <c r="D230" s="48" t="s">
        <v>16</v>
      </c>
      <c r="E230" s="49">
        <v>75217.6</v>
      </c>
      <c r="F230" s="49">
        <v>75595.6</v>
      </c>
    </row>
    <row r="231" spans="1:6" ht="78.75">
      <c r="A231" s="46" t="s">
        <v>106</v>
      </c>
      <c r="B231" s="48" t="s">
        <v>161</v>
      </c>
      <c r="C231" s="48" t="s">
        <v>209</v>
      </c>
      <c r="D231" s="48"/>
      <c r="E231" s="10">
        <f>E232</f>
        <v>294435.5</v>
      </c>
      <c r="F231" s="250">
        <f>F232</f>
        <v>292845.1</v>
      </c>
    </row>
    <row r="232" spans="1:6" ht="63">
      <c r="A232" s="46" t="s">
        <v>15</v>
      </c>
      <c r="B232" s="48" t="s">
        <v>161</v>
      </c>
      <c r="C232" s="48" t="s">
        <v>209</v>
      </c>
      <c r="D232" s="48" t="s">
        <v>16</v>
      </c>
      <c r="E232" s="49">
        <f>301579.1-7143.6</f>
        <v>294435.5</v>
      </c>
      <c r="F232" s="49">
        <f>299442.3-6597.2</f>
        <v>292845.1</v>
      </c>
    </row>
    <row r="233" spans="1:6" ht="141.75">
      <c r="A233" s="46" t="s">
        <v>105</v>
      </c>
      <c r="B233" s="48" t="s">
        <v>161</v>
      </c>
      <c r="C233" s="48" t="s">
        <v>210</v>
      </c>
      <c r="D233" s="48"/>
      <c r="E233" s="10">
        <f>E234+E235</f>
        <v>24598.1</v>
      </c>
      <c r="F233" s="10">
        <f>F234+F235</f>
        <v>25646.600000000002</v>
      </c>
    </row>
    <row r="234" spans="1:6" ht="31.5">
      <c r="A234" s="46" t="s">
        <v>38</v>
      </c>
      <c r="B234" s="48" t="s">
        <v>161</v>
      </c>
      <c r="C234" s="48" t="s">
        <v>210</v>
      </c>
      <c r="D234" s="48" t="s">
        <v>22</v>
      </c>
      <c r="E234" s="49">
        <v>837</v>
      </c>
      <c r="F234" s="49">
        <v>872.7</v>
      </c>
    </row>
    <row r="235" spans="1:6" ht="63">
      <c r="A235" s="27" t="s">
        <v>15</v>
      </c>
      <c r="B235" s="25" t="s">
        <v>161</v>
      </c>
      <c r="C235" s="25" t="s">
        <v>210</v>
      </c>
      <c r="D235" s="25" t="s">
        <v>16</v>
      </c>
      <c r="E235" s="49">
        <v>23761.1</v>
      </c>
      <c r="F235" s="49">
        <v>24773.9</v>
      </c>
    </row>
    <row r="236" spans="1:6" ht="173.25">
      <c r="A236" s="65" t="s">
        <v>138</v>
      </c>
      <c r="B236" s="48" t="s">
        <v>161</v>
      </c>
      <c r="C236" s="48" t="s">
        <v>211</v>
      </c>
      <c r="D236" s="48"/>
      <c r="E236" s="41">
        <f>E237</f>
        <v>2140</v>
      </c>
      <c r="F236" s="41">
        <f>F237</f>
        <v>2226</v>
      </c>
    </row>
    <row r="237" spans="1:6" ht="31.5">
      <c r="A237" s="46" t="s">
        <v>38</v>
      </c>
      <c r="B237" s="48" t="s">
        <v>161</v>
      </c>
      <c r="C237" s="48" t="s">
        <v>211</v>
      </c>
      <c r="D237" s="48" t="s">
        <v>22</v>
      </c>
      <c r="E237" s="49">
        <v>2140</v>
      </c>
      <c r="F237" s="49">
        <v>2226</v>
      </c>
    </row>
    <row r="238" spans="1:6" ht="47.25">
      <c r="A238" s="12" t="s">
        <v>119</v>
      </c>
      <c r="B238" s="125" t="s">
        <v>161</v>
      </c>
      <c r="C238" s="13" t="s">
        <v>212</v>
      </c>
      <c r="D238" s="13" t="s">
        <v>0</v>
      </c>
      <c r="E238" s="132">
        <f>E239+E243+E245+E241</f>
        <v>510385.29999999993</v>
      </c>
      <c r="F238" s="132">
        <f>F239+F243+F245+F241</f>
        <v>509770.1</v>
      </c>
    </row>
    <row r="239" spans="1:6" ht="47.25">
      <c r="A239" s="46" t="s">
        <v>36</v>
      </c>
      <c r="B239" s="48" t="s">
        <v>161</v>
      </c>
      <c r="C239" s="48" t="s">
        <v>213</v>
      </c>
      <c r="D239" s="48"/>
      <c r="E239" s="41">
        <f>E240</f>
        <v>103506.6</v>
      </c>
      <c r="F239" s="41">
        <f>F240</f>
        <v>103241.5</v>
      </c>
    </row>
    <row r="240" spans="1:6" ht="63">
      <c r="A240" s="46" t="s">
        <v>15</v>
      </c>
      <c r="B240" s="48" t="s">
        <v>161</v>
      </c>
      <c r="C240" s="48" t="s">
        <v>213</v>
      </c>
      <c r="D240" s="48" t="s">
        <v>16</v>
      </c>
      <c r="E240" s="49">
        <v>103506.6</v>
      </c>
      <c r="F240" s="49">
        <v>103241.5</v>
      </c>
    </row>
    <row r="241" spans="1:8" ht="92.25" customHeight="1">
      <c r="A241" s="46" t="s">
        <v>106</v>
      </c>
      <c r="B241" s="48" t="s">
        <v>161</v>
      </c>
      <c r="C241" s="48" t="s">
        <v>215</v>
      </c>
      <c r="D241" s="48"/>
      <c r="E241" s="41">
        <f>E242</f>
        <v>401970.69999999995</v>
      </c>
      <c r="F241" s="41">
        <f>F242</f>
        <v>401424.3</v>
      </c>
      <c r="H241" s="204"/>
    </row>
    <row r="242" spans="1:8" ht="63">
      <c r="A242" s="46" t="s">
        <v>15</v>
      </c>
      <c r="B242" s="48" t="s">
        <v>161</v>
      </c>
      <c r="C242" s="48" t="s">
        <v>215</v>
      </c>
      <c r="D242" s="48" t="s">
        <v>16</v>
      </c>
      <c r="E242" s="49">
        <f>394827.1+7143.6</f>
        <v>401970.69999999995</v>
      </c>
      <c r="F242" s="49">
        <f>394827.1+6597.2</f>
        <v>401424.3</v>
      </c>
      <c r="G242" s="148"/>
      <c r="H242" s="148"/>
    </row>
    <row r="243" spans="1:8" ht="110.25">
      <c r="A243" s="46" t="s">
        <v>163</v>
      </c>
      <c r="B243" s="48" t="s">
        <v>161</v>
      </c>
      <c r="C243" s="48" t="s">
        <v>214</v>
      </c>
      <c r="D243" s="48"/>
      <c r="E243" s="41">
        <f>E244</f>
        <v>32</v>
      </c>
      <c r="F243" s="41">
        <f>F244</f>
        <v>33.3</v>
      </c>
      <c r="G243" s="148"/>
      <c r="H243" s="148"/>
    </row>
    <row r="244" spans="1:6" ht="63">
      <c r="A244" s="46" t="s">
        <v>15</v>
      </c>
      <c r="B244" s="48" t="s">
        <v>161</v>
      </c>
      <c r="C244" s="48" t="s">
        <v>214</v>
      </c>
      <c r="D244" s="48" t="s">
        <v>16</v>
      </c>
      <c r="E244" s="49">
        <v>32</v>
      </c>
      <c r="F244" s="49">
        <v>33.3</v>
      </c>
    </row>
    <row r="245" spans="1:6" ht="173.25">
      <c r="A245" s="65" t="s">
        <v>138</v>
      </c>
      <c r="B245" s="48" t="s">
        <v>161</v>
      </c>
      <c r="C245" s="48" t="s">
        <v>216</v>
      </c>
      <c r="D245" s="48"/>
      <c r="E245" s="41">
        <f>E246</f>
        <v>4876</v>
      </c>
      <c r="F245" s="41">
        <f>F246</f>
        <v>5071</v>
      </c>
    </row>
    <row r="246" spans="1:6" ht="31.5">
      <c r="A246" s="46" t="s">
        <v>38</v>
      </c>
      <c r="B246" s="48" t="s">
        <v>161</v>
      </c>
      <c r="C246" s="48" t="s">
        <v>216</v>
      </c>
      <c r="D246" s="48" t="s">
        <v>22</v>
      </c>
      <c r="E246" s="49">
        <v>4876</v>
      </c>
      <c r="F246" s="49">
        <v>5071</v>
      </c>
    </row>
    <row r="247" spans="1:6" ht="31.5">
      <c r="A247" s="12" t="s">
        <v>120</v>
      </c>
      <c r="B247" s="125" t="s">
        <v>161</v>
      </c>
      <c r="C247" s="13" t="s">
        <v>217</v>
      </c>
      <c r="D247" s="13" t="s">
        <v>0</v>
      </c>
      <c r="E247" s="132">
        <f>E248+E250</f>
        <v>25662.5</v>
      </c>
      <c r="F247" s="132">
        <f>F248+F250</f>
        <v>25687.1</v>
      </c>
    </row>
    <row r="248" spans="1:6" ht="47.25">
      <c r="A248" s="46" t="s">
        <v>36</v>
      </c>
      <c r="B248" s="48" t="s">
        <v>161</v>
      </c>
      <c r="C248" s="48" t="s">
        <v>218</v>
      </c>
      <c r="D248" s="48"/>
      <c r="E248" s="41">
        <f>E249</f>
        <v>25428.5</v>
      </c>
      <c r="F248" s="41">
        <f>F249</f>
        <v>25444.1</v>
      </c>
    </row>
    <row r="249" spans="1:8" ht="63">
      <c r="A249" s="46" t="s">
        <v>15</v>
      </c>
      <c r="B249" s="48" t="s">
        <v>161</v>
      </c>
      <c r="C249" s="48" t="s">
        <v>218</v>
      </c>
      <c r="D249" s="48" t="s">
        <v>16</v>
      </c>
      <c r="E249" s="49">
        <v>25428.5</v>
      </c>
      <c r="F249" s="49">
        <v>25444.1</v>
      </c>
      <c r="H249" s="148"/>
    </row>
    <row r="250" spans="1:8" ht="173.25">
      <c r="A250" s="65" t="s">
        <v>138</v>
      </c>
      <c r="B250" s="48" t="s">
        <v>161</v>
      </c>
      <c r="C250" s="48" t="s">
        <v>219</v>
      </c>
      <c r="D250" s="48"/>
      <c r="E250" s="41">
        <f>E251</f>
        <v>234</v>
      </c>
      <c r="F250" s="41">
        <f>F251</f>
        <v>243</v>
      </c>
      <c r="H250" s="149"/>
    </row>
    <row r="251" spans="1:6" ht="31.5">
      <c r="A251" s="46" t="s">
        <v>38</v>
      </c>
      <c r="B251" s="48" t="s">
        <v>161</v>
      </c>
      <c r="C251" s="48" t="s">
        <v>219</v>
      </c>
      <c r="D251" s="48" t="s">
        <v>22</v>
      </c>
      <c r="E251" s="49">
        <v>234</v>
      </c>
      <c r="F251" s="49">
        <v>243</v>
      </c>
    </row>
    <row r="252" spans="1:6" ht="47.25">
      <c r="A252" s="12" t="s">
        <v>473</v>
      </c>
      <c r="B252" s="125" t="s">
        <v>161</v>
      </c>
      <c r="C252" s="13" t="s">
        <v>220</v>
      </c>
      <c r="D252" s="13" t="s">
        <v>0</v>
      </c>
      <c r="E252" s="251">
        <f>E253+E257</f>
        <v>59664.09999999999</v>
      </c>
      <c r="F252" s="251">
        <f>F253+F257</f>
        <v>59851.299999999996</v>
      </c>
    </row>
    <row r="253" spans="1:6" ht="47.25">
      <c r="A253" s="46" t="s">
        <v>19</v>
      </c>
      <c r="B253" s="48" t="s">
        <v>161</v>
      </c>
      <c r="C253" s="48" t="s">
        <v>221</v>
      </c>
      <c r="D253" s="48"/>
      <c r="E253" s="42">
        <f>E254+E255+E256</f>
        <v>31470.499999999996</v>
      </c>
      <c r="F253" s="42">
        <f>F254+F255+F256</f>
        <v>31618.799999999996</v>
      </c>
    </row>
    <row r="254" spans="1:6" ht="126">
      <c r="A254" s="46" t="s">
        <v>20</v>
      </c>
      <c r="B254" s="48" t="s">
        <v>161</v>
      </c>
      <c r="C254" s="48" t="s">
        <v>221</v>
      </c>
      <c r="D254" s="48" t="s">
        <v>21</v>
      </c>
      <c r="E254" s="49">
        <f>26160.5+175.1</f>
        <v>26335.6</v>
      </c>
      <c r="F254" s="49">
        <f>26160.5+181.3</f>
        <v>26341.8</v>
      </c>
    </row>
    <row r="255" spans="1:6" ht="47.25">
      <c r="A255" s="46" t="s">
        <v>18</v>
      </c>
      <c r="B255" s="48" t="s">
        <v>161</v>
      </c>
      <c r="C255" s="48" t="s">
        <v>221</v>
      </c>
      <c r="D255" s="48" t="s">
        <v>13</v>
      </c>
      <c r="E255" s="49">
        <f>5149.4-175.1</f>
        <v>4974.299999999999</v>
      </c>
      <c r="F255" s="49">
        <f>5297.7-181.3</f>
        <v>5116.4</v>
      </c>
    </row>
    <row r="256" spans="1:6" ht="15.75">
      <c r="A256" s="90" t="s">
        <v>14</v>
      </c>
      <c r="B256" s="48" t="s">
        <v>161</v>
      </c>
      <c r="C256" s="48" t="s">
        <v>221</v>
      </c>
      <c r="D256" s="48" t="s">
        <v>17</v>
      </c>
      <c r="E256" s="49">
        <v>160.6</v>
      </c>
      <c r="F256" s="49">
        <v>160.6</v>
      </c>
    </row>
    <row r="257" spans="1:6" ht="47.25">
      <c r="A257" s="46" t="s">
        <v>42</v>
      </c>
      <c r="B257" s="48" t="s">
        <v>161</v>
      </c>
      <c r="C257" s="48" t="s">
        <v>222</v>
      </c>
      <c r="D257" s="48"/>
      <c r="E257" s="42">
        <f>E258+E259+E260</f>
        <v>28193.6</v>
      </c>
      <c r="F257" s="42">
        <f>F258+F259+F260</f>
        <v>28232.5</v>
      </c>
    </row>
    <row r="258" spans="1:6" ht="126">
      <c r="A258" s="46" t="s">
        <v>20</v>
      </c>
      <c r="B258" s="48" t="s">
        <v>161</v>
      </c>
      <c r="C258" s="48" t="s">
        <v>222</v>
      </c>
      <c r="D258" s="48" t="s">
        <v>21</v>
      </c>
      <c r="E258" s="49">
        <f>26626.3+17.6</f>
        <v>26643.899999999998</v>
      </c>
      <c r="F258" s="49">
        <f>26626.3+18.2</f>
        <v>26644.5</v>
      </c>
    </row>
    <row r="259" spans="1:6" ht="47.25">
      <c r="A259" s="46" t="s">
        <v>18</v>
      </c>
      <c r="B259" s="48" t="s">
        <v>161</v>
      </c>
      <c r="C259" s="48" t="s">
        <v>222</v>
      </c>
      <c r="D259" s="48" t="s">
        <v>13</v>
      </c>
      <c r="E259" s="49">
        <f>1566.5-17.6</f>
        <v>1548.9</v>
      </c>
      <c r="F259" s="49">
        <f>1605.4-18.2</f>
        <v>1587.2</v>
      </c>
    </row>
    <row r="260" spans="1:6" ht="15.75">
      <c r="A260" s="90" t="s">
        <v>14</v>
      </c>
      <c r="B260" s="48" t="s">
        <v>161</v>
      </c>
      <c r="C260" s="48" t="s">
        <v>222</v>
      </c>
      <c r="D260" s="48" t="s">
        <v>17</v>
      </c>
      <c r="E260" s="49">
        <v>0.8</v>
      </c>
      <c r="F260" s="49">
        <v>0.8</v>
      </c>
    </row>
    <row r="261" spans="1:6" ht="47.25">
      <c r="A261" s="37" t="s">
        <v>167</v>
      </c>
      <c r="B261" s="38" t="s">
        <v>168</v>
      </c>
      <c r="C261" s="109"/>
      <c r="D261" s="123"/>
      <c r="E261" s="36">
        <f>E262+E268</f>
        <v>79704.79999999999</v>
      </c>
      <c r="F261" s="36">
        <f>F262+F268</f>
        <v>84482.59999999999</v>
      </c>
    </row>
    <row r="262" spans="1:6" ht="63">
      <c r="A262" s="110" t="s">
        <v>123</v>
      </c>
      <c r="B262" s="127" t="s">
        <v>168</v>
      </c>
      <c r="C262" s="104" t="s">
        <v>271</v>
      </c>
      <c r="D262" s="104" t="s">
        <v>0</v>
      </c>
      <c r="E262" s="111">
        <f>E263</f>
        <v>19001.5</v>
      </c>
      <c r="F262" s="111">
        <f>F263</f>
        <v>19273.3</v>
      </c>
    </row>
    <row r="263" spans="1:6" ht="63">
      <c r="A263" s="12" t="s">
        <v>124</v>
      </c>
      <c r="B263" s="112" t="s">
        <v>168</v>
      </c>
      <c r="C263" s="13" t="s">
        <v>272</v>
      </c>
      <c r="D263" s="13" t="s">
        <v>0</v>
      </c>
      <c r="E263" s="14">
        <f>E264</f>
        <v>19001.5</v>
      </c>
      <c r="F263" s="14">
        <f>F264</f>
        <v>19273.3</v>
      </c>
    </row>
    <row r="264" spans="1:6" ht="47.25">
      <c r="A264" s="232" t="s">
        <v>19</v>
      </c>
      <c r="B264" s="48" t="s">
        <v>168</v>
      </c>
      <c r="C264" s="48" t="s">
        <v>273</v>
      </c>
      <c r="D264" s="25"/>
      <c r="E264" s="24">
        <f>SUM(E265:E267)</f>
        <v>19001.5</v>
      </c>
      <c r="F264" s="24">
        <f>SUM(F265:F267)</f>
        <v>19273.3</v>
      </c>
    </row>
    <row r="265" spans="1:6" ht="126">
      <c r="A265" s="63" t="s">
        <v>20</v>
      </c>
      <c r="B265" s="48" t="s">
        <v>168</v>
      </c>
      <c r="C265" s="48" t="s">
        <v>273</v>
      </c>
      <c r="D265" s="48" t="s">
        <v>21</v>
      </c>
      <c r="E265" s="24">
        <f>17710-19.6-0.1+131</f>
        <v>17821.300000000003</v>
      </c>
      <c r="F265" s="24">
        <f>17944.1-19.3-0.1+131</f>
        <v>18055.7</v>
      </c>
    </row>
    <row r="266" spans="1:6" ht="47.25">
      <c r="A266" s="51" t="s">
        <v>18</v>
      </c>
      <c r="B266" s="48" t="s">
        <v>168</v>
      </c>
      <c r="C266" s="48" t="s">
        <v>273</v>
      </c>
      <c r="D266" s="48" t="s">
        <v>13</v>
      </c>
      <c r="E266" s="24">
        <f>1280.5+0.1-131</f>
        <v>1149.6</v>
      </c>
      <c r="F266" s="24">
        <f>1318.2+0.1-131</f>
        <v>1187.3</v>
      </c>
    </row>
    <row r="267" spans="1:8" ht="15.75">
      <c r="A267" s="90" t="s">
        <v>14</v>
      </c>
      <c r="B267" s="48" t="s">
        <v>168</v>
      </c>
      <c r="C267" s="48" t="s">
        <v>273</v>
      </c>
      <c r="D267" s="48" t="s">
        <v>17</v>
      </c>
      <c r="E267" s="24">
        <f>11+19.6</f>
        <v>30.6</v>
      </c>
      <c r="F267" s="24">
        <f>11+19.3</f>
        <v>30.3</v>
      </c>
      <c r="G267" s="148"/>
      <c r="H267" s="148"/>
    </row>
    <row r="268" spans="1:6" ht="31.5">
      <c r="A268" s="103" t="s">
        <v>43</v>
      </c>
      <c r="B268" s="105" t="s">
        <v>168</v>
      </c>
      <c r="C268" s="105" t="s">
        <v>188</v>
      </c>
      <c r="D268" s="105" t="s">
        <v>0</v>
      </c>
      <c r="E268" s="106">
        <f>E269+E271+E273+E275+E277+E279+E281+E287+E283+E285</f>
        <v>60703.299999999996</v>
      </c>
      <c r="F268" s="106">
        <f>F269+F271+F273+F275+F277+F279+F281+F287+F283+F285</f>
        <v>65209.299999999996</v>
      </c>
    </row>
    <row r="269" spans="1:6" ht="63">
      <c r="A269" s="96" t="s">
        <v>66</v>
      </c>
      <c r="B269" s="48" t="s">
        <v>168</v>
      </c>
      <c r="C269" s="48" t="s">
        <v>186</v>
      </c>
      <c r="D269" s="25"/>
      <c r="E269" s="49">
        <f>E270</f>
        <v>1154.4</v>
      </c>
      <c r="F269" s="49">
        <f>F270</f>
        <v>1154.4</v>
      </c>
    </row>
    <row r="270" spans="1:6" ht="15.75">
      <c r="A270" s="52" t="s">
        <v>61</v>
      </c>
      <c r="B270" s="48" t="s">
        <v>168</v>
      </c>
      <c r="C270" s="48" t="s">
        <v>186</v>
      </c>
      <c r="D270" s="48" t="s">
        <v>62</v>
      </c>
      <c r="E270" s="49">
        <v>1154.4</v>
      </c>
      <c r="F270" s="49">
        <v>1154.4</v>
      </c>
    </row>
    <row r="271" spans="1:6" ht="94.5">
      <c r="A271" s="97" t="s">
        <v>65</v>
      </c>
      <c r="B271" s="48" t="s">
        <v>168</v>
      </c>
      <c r="C271" s="48" t="s">
        <v>187</v>
      </c>
      <c r="D271" s="25"/>
      <c r="E271" s="49">
        <f>E272</f>
        <v>136.9</v>
      </c>
      <c r="F271" s="49">
        <f>F272</f>
        <v>136.9</v>
      </c>
    </row>
    <row r="272" spans="1:6" ht="15.75">
      <c r="A272" s="52" t="s">
        <v>61</v>
      </c>
      <c r="B272" s="48" t="s">
        <v>168</v>
      </c>
      <c r="C272" s="48" t="s">
        <v>187</v>
      </c>
      <c r="D272" s="48" t="s">
        <v>62</v>
      </c>
      <c r="E272" s="49">
        <v>136.9</v>
      </c>
      <c r="F272" s="49">
        <v>136.9</v>
      </c>
    </row>
    <row r="273" spans="1:6" ht="345">
      <c r="A273" s="252" t="s">
        <v>329</v>
      </c>
      <c r="B273" s="48" t="s">
        <v>168</v>
      </c>
      <c r="C273" s="59" t="s">
        <v>191</v>
      </c>
      <c r="D273" s="60"/>
      <c r="E273" s="56">
        <f>E274</f>
        <v>3</v>
      </c>
      <c r="F273" s="56">
        <f>F274</f>
        <v>3</v>
      </c>
    </row>
    <row r="274" spans="1:6" ht="47.25">
      <c r="A274" s="62" t="s">
        <v>18</v>
      </c>
      <c r="B274" s="48" t="s">
        <v>168</v>
      </c>
      <c r="C274" s="59" t="s">
        <v>191</v>
      </c>
      <c r="D274" s="60">
        <v>200</v>
      </c>
      <c r="E274" s="49">
        <v>3</v>
      </c>
      <c r="F274" s="49">
        <v>3</v>
      </c>
    </row>
    <row r="275" spans="1:6" ht="315">
      <c r="A275" s="98" t="s">
        <v>330</v>
      </c>
      <c r="B275" s="48" t="s">
        <v>168</v>
      </c>
      <c r="C275" s="128" t="s">
        <v>192</v>
      </c>
      <c r="D275" s="129"/>
      <c r="E275" s="56">
        <f>E276</f>
        <v>3</v>
      </c>
      <c r="F275" s="56">
        <f>F276</f>
        <v>3</v>
      </c>
    </row>
    <row r="276" spans="1:6" ht="47.25">
      <c r="A276" s="62" t="s">
        <v>18</v>
      </c>
      <c r="B276" s="48" t="s">
        <v>168</v>
      </c>
      <c r="C276" s="128" t="s">
        <v>192</v>
      </c>
      <c r="D276" s="130">
        <v>200</v>
      </c>
      <c r="E276" s="49">
        <v>3</v>
      </c>
      <c r="F276" s="49">
        <v>3</v>
      </c>
    </row>
    <row r="277" spans="1:6" ht="47.25">
      <c r="A277" s="26" t="s">
        <v>63</v>
      </c>
      <c r="B277" s="48" t="s">
        <v>168</v>
      </c>
      <c r="C277" s="128" t="s">
        <v>193</v>
      </c>
      <c r="D277" s="57"/>
      <c r="E277" s="56">
        <f>E278</f>
        <v>1621.7</v>
      </c>
      <c r="F277" s="56">
        <f>F278</f>
        <v>1600.3</v>
      </c>
    </row>
    <row r="278" spans="1:6" ht="15.75">
      <c r="A278" s="53" t="s">
        <v>61</v>
      </c>
      <c r="B278" s="48" t="s">
        <v>168</v>
      </c>
      <c r="C278" s="128" t="s">
        <v>193</v>
      </c>
      <c r="D278" s="48" t="s">
        <v>62</v>
      </c>
      <c r="E278" s="56">
        <v>1621.7</v>
      </c>
      <c r="F278" s="56">
        <v>1600.3</v>
      </c>
    </row>
    <row r="279" spans="1:6" ht="180">
      <c r="A279" s="99" t="s">
        <v>331</v>
      </c>
      <c r="B279" s="48" t="s">
        <v>168</v>
      </c>
      <c r="C279" s="128" t="s">
        <v>194</v>
      </c>
      <c r="D279" s="58"/>
      <c r="E279" s="56">
        <f>E280</f>
        <v>148.6</v>
      </c>
      <c r="F279" s="56">
        <f>F280</f>
        <v>148.6</v>
      </c>
    </row>
    <row r="280" spans="1:8" ht="15.75">
      <c r="A280" s="53" t="s">
        <v>61</v>
      </c>
      <c r="B280" s="48" t="s">
        <v>168</v>
      </c>
      <c r="C280" s="128" t="s">
        <v>194</v>
      </c>
      <c r="D280" s="48" t="s">
        <v>62</v>
      </c>
      <c r="E280" s="49">
        <v>148.6</v>
      </c>
      <c r="F280" s="49">
        <v>148.6</v>
      </c>
      <c r="G280" s="148" t="e">
        <f>E70+E270+E272+#REF!+#REF!+E278+51.5+97.1</f>
        <v>#REF!</v>
      </c>
      <c r="H280" s="148" t="e">
        <f>F70+F270+F272+#REF!+#REF!+F278+97.1+51.5</f>
        <v>#REF!</v>
      </c>
    </row>
    <row r="281" spans="1:6" ht="225">
      <c r="A281" s="253" t="s">
        <v>332</v>
      </c>
      <c r="B281" s="48" t="s">
        <v>168</v>
      </c>
      <c r="C281" s="128" t="s">
        <v>195</v>
      </c>
      <c r="D281" s="58"/>
      <c r="E281" s="56">
        <f>E282</f>
        <v>7</v>
      </c>
      <c r="F281" s="56">
        <f>F282</f>
        <v>7</v>
      </c>
    </row>
    <row r="282" spans="1:6" ht="47.25">
      <c r="A282" s="53" t="s">
        <v>18</v>
      </c>
      <c r="B282" s="48" t="s">
        <v>168</v>
      </c>
      <c r="C282" s="128" t="s">
        <v>195</v>
      </c>
      <c r="D282" s="48" t="s">
        <v>13</v>
      </c>
      <c r="E282" s="49">
        <v>7</v>
      </c>
      <c r="F282" s="49">
        <v>7</v>
      </c>
    </row>
    <row r="283" spans="1:6" ht="63">
      <c r="A283" s="26" t="s">
        <v>169</v>
      </c>
      <c r="B283" s="48" t="s">
        <v>168</v>
      </c>
      <c r="C283" s="48" t="s">
        <v>189</v>
      </c>
      <c r="D283" s="48" t="s">
        <v>0</v>
      </c>
      <c r="E283" s="56">
        <f>E284</f>
        <v>3400.1</v>
      </c>
      <c r="F283" s="56">
        <f>F284</f>
        <v>3500</v>
      </c>
    </row>
    <row r="284" spans="1:6" ht="15.75">
      <c r="A284" s="53" t="s">
        <v>61</v>
      </c>
      <c r="B284" s="48" t="s">
        <v>168</v>
      </c>
      <c r="C284" s="48" t="s">
        <v>189</v>
      </c>
      <c r="D284" s="48" t="s">
        <v>62</v>
      </c>
      <c r="E284" s="56">
        <v>3400.1</v>
      </c>
      <c r="F284" s="56">
        <v>3500</v>
      </c>
    </row>
    <row r="285" spans="1:6" ht="47.25">
      <c r="A285" s="97" t="s">
        <v>64</v>
      </c>
      <c r="B285" s="48" t="s">
        <v>168</v>
      </c>
      <c r="C285" s="48" t="s">
        <v>190</v>
      </c>
      <c r="D285" s="57"/>
      <c r="E285" s="56">
        <f>E286</f>
        <v>13021</v>
      </c>
      <c r="F285" s="56">
        <f>F286</f>
        <v>13230</v>
      </c>
    </row>
    <row r="286" spans="1:6" ht="15.75">
      <c r="A286" s="53" t="s">
        <v>61</v>
      </c>
      <c r="B286" s="48" t="s">
        <v>168</v>
      </c>
      <c r="C286" s="48" t="s">
        <v>190</v>
      </c>
      <c r="D286" s="48" t="s">
        <v>62</v>
      </c>
      <c r="E286" s="49">
        <v>13021</v>
      </c>
      <c r="F286" s="49">
        <v>13230</v>
      </c>
    </row>
    <row r="287" spans="1:6" ht="31.5">
      <c r="A287" s="231" t="s">
        <v>460</v>
      </c>
      <c r="B287" s="48" t="s">
        <v>168</v>
      </c>
      <c r="C287" s="17" t="s">
        <v>461</v>
      </c>
      <c r="D287" s="217"/>
      <c r="E287" s="74">
        <f>E288</f>
        <v>41207.6</v>
      </c>
      <c r="F287" s="74">
        <f>F288</f>
        <v>45426.1</v>
      </c>
    </row>
    <row r="288" spans="1:6" ht="15.75">
      <c r="A288" s="50" t="s">
        <v>14</v>
      </c>
      <c r="B288" s="48" t="s">
        <v>168</v>
      </c>
      <c r="C288" s="17" t="s">
        <v>461</v>
      </c>
      <c r="D288" s="217">
        <v>800</v>
      </c>
      <c r="E288" s="49">
        <f>20000+21207.6</f>
        <v>41207.6</v>
      </c>
      <c r="F288" s="49">
        <f>40000+5426.1</f>
        <v>45426.1</v>
      </c>
    </row>
  </sheetData>
  <sheetProtection/>
  <autoFilter ref="A11:F288"/>
  <mergeCells count="9">
    <mergeCell ref="C4:F4"/>
    <mergeCell ref="C2:F2"/>
    <mergeCell ref="C1:F1"/>
    <mergeCell ref="A7:F7"/>
    <mergeCell ref="D9:D10"/>
    <mergeCell ref="C9:C10"/>
    <mergeCell ref="B9:B10"/>
    <mergeCell ref="A9:A10"/>
    <mergeCell ref="C5:F5"/>
  </mergeCells>
  <printOptions/>
  <pageMargins left="0.5118110236220472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Администратор</cp:lastModifiedBy>
  <cp:lastPrinted>2016-12-19T10:41:38Z</cp:lastPrinted>
  <dcterms:created xsi:type="dcterms:W3CDTF">2013-10-14T07:03:00Z</dcterms:created>
  <dcterms:modified xsi:type="dcterms:W3CDTF">2016-12-21T13:18:08Z</dcterms:modified>
  <cp:category/>
  <cp:version/>
  <cp:contentType/>
  <cp:contentStatus/>
</cp:coreProperties>
</file>