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330"/>
  </bookViews>
  <sheets>
    <sheet name="лист" sheetId="2" r:id="rId1"/>
  </sheets>
  <definedNames>
    <definedName name="_xlnm._FilterDatabase" localSheetId="0" hidden="1">лист!$A$8:$J$8</definedName>
    <definedName name="_xlnm.Print_Titles" localSheetId="0">лист!$8:$8</definedName>
  </definedNames>
  <calcPr calcId="125725"/>
</workbook>
</file>

<file path=xl/calcChain.xml><?xml version="1.0" encoding="utf-8"?>
<calcChain xmlns="http://schemas.openxmlformats.org/spreadsheetml/2006/main">
  <c r="H61" i="2"/>
  <c r="G61"/>
  <c r="H45"/>
  <c r="G45"/>
  <c r="G29"/>
  <c r="H28"/>
  <c r="G28"/>
  <c r="H20"/>
  <c r="G20"/>
  <c r="H15"/>
  <c r="G15"/>
  <c r="H12"/>
  <c r="G12"/>
  <c r="D9" l="1"/>
  <c r="E9"/>
  <c r="J60"/>
  <c r="J59" s="1"/>
  <c r="I60"/>
  <c r="F60"/>
  <c r="I59"/>
  <c r="J57"/>
  <c r="J56" s="1"/>
  <c r="I57"/>
  <c r="F57"/>
  <c r="I56"/>
  <c r="J54"/>
  <c r="I54"/>
  <c r="F54"/>
  <c r="J53"/>
  <c r="I53"/>
  <c r="F53"/>
  <c r="F52"/>
  <c r="I51"/>
  <c r="J49"/>
  <c r="I49"/>
  <c r="F49"/>
  <c r="J48"/>
  <c r="J47" s="1"/>
  <c r="I48"/>
  <c r="F48"/>
  <c r="F47" s="1"/>
  <c r="I45"/>
  <c r="J44"/>
  <c r="I44"/>
  <c r="F44"/>
  <c r="J43"/>
  <c r="I43"/>
  <c r="F43"/>
  <c r="J42"/>
  <c r="I42"/>
  <c r="F42"/>
  <c r="J41"/>
  <c r="J40" s="1"/>
  <c r="I41"/>
  <c r="F41"/>
  <c r="F38"/>
  <c r="F37"/>
  <c r="J36"/>
  <c r="I36"/>
  <c r="F36"/>
  <c r="J35"/>
  <c r="I35"/>
  <c r="F35"/>
  <c r="J32"/>
  <c r="I32"/>
  <c r="F32"/>
  <c r="J31"/>
  <c r="I31"/>
  <c r="F31"/>
  <c r="F30"/>
  <c r="F25"/>
  <c r="F24"/>
  <c r="J23"/>
  <c r="J22" s="1"/>
  <c r="I23"/>
  <c r="F23"/>
  <c r="I22"/>
  <c r="J19"/>
  <c r="I19"/>
  <c r="F19"/>
  <c r="J17"/>
  <c r="I17"/>
  <c r="F17"/>
  <c r="J14"/>
  <c r="I14"/>
  <c r="F14"/>
  <c r="J13"/>
  <c r="I13"/>
  <c r="F13"/>
  <c r="I34" l="1"/>
  <c r="I40"/>
  <c r="F11"/>
  <c r="H13"/>
  <c r="G13"/>
  <c r="H17"/>
  <c r="G17"/>
  <c r="H24"/>
  <c r="G24"/>
  <c r="G30"/>
  <c r="H30"/>
  <c r="G32"/>
  <c r="H32"/>
  <c r="F34"/>
  <c r="G35"/>
  <c r="H35"/>
  <c r="G37"/>
  <c r="H37"/>
  <c r="G42"/>
  <c r="H42"/>
  <c r="G44"/>
  <c r="H44"/>
  <c r="G47"/>
  <c r="H47"/>
  <c r="G48"/>
  <c r="H48"/>
  <c r="G53"/>
  <c r="H53"/>
  <c r="H14"/>
  <c r="G14"/>
  <c r="H19"/>
  <c r="G19"/>
  <c r="F22"/>
  <c r="H23"/>
  <c r="G23"/>
  <c r="H25"/>
  <c r="G25"/>
  <c r="F27"/>
  <c r="G31"/>
  <c r="H31"/>
  <c r="G36"/>
  <c r="H36"/>
  <c r="G38"/>
  <c r="H38"/>
  <c r="F40"/>
  <c r="G41"/>
  <c r="H41"/>
  <c r="G49"/>
  <c r="H49"/>
  <c r="F51"/>
  <c r="G52"/>
  <c r="H52"/>
  <c r="G54"/>
  <c r="H54"/>
  <c r="F56"/>
  <c r="G57"/>
  <c r="H57"/>
  <c r="F59"/>
  <c r="G60"/>
  <c r="H60"/>
  <c r="J11"/>
  <c r="J27"/>
  <c r="I27"/>
  <c r="I47"/>
  <c r="J51"/>
  <c r="J34"/>
  <c r="J9" s="1"/>
  <c r="I11"/>
  <c r="G59" l="1"/>
  <c r="H59"/>
  <c r="G51"/>
  <c r="H51"/>
  <c r="H27"/>
  <c r="G27"/>
  <c r="G34"/>
  <c r="H34"/>
  <c r="G56"/>
  <c r="H56"/>
  <c r="G40"/>
  <c r="H40"/>
  <c r="H22"/>
  <c r="G22"/>
  <c r="F9"/>
  <c r="H11"/>
  <c r="G11"/>
  <c r="I9"/>
  <c r="H9" l="1"/>
  <c r="G9"/>
</calcChain>
</file>

<file path=xl/sharedStrings.xml><?xml version="1.0" encoding="utf-8"?>
<sst xmlns="http://schemas.openxmlformats.org/spreadsheetml/2006/main" count="59" uniqueCount="57">
  <si>
    <t>Наименование</t>
  </si>
  <si>
    <t>Рз</t>
  </si>
  <si>
    <t>Пр</t>
  </si>
  <si>
    <t>ВСЕГО: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</si>
  <si>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</si>
  <si>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</si>
  <si>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</si>
  <si>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</si>
  <si>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</si>
  <si>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</si>
  <si>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</si>
  <si>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</si>
  <si>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</si>
  <si>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</si>
  <si>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</si>
  <si>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</si>
  <si>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</si>
  <si>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</si>
  <si>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</si>
  <si>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</si>
  <si>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</si>
  <si>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</si>
  <si>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</si>
  <si>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</si>
  <si>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</si>
  <si>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</si>
  <si>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</si>
  <si>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</si>
  <si>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</si>
  <si>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</si>
  <si>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</si>
  <si>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</si>
  <si>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</si>
  <si>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</si>
  <si>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</si>
  <si>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</si>
  <si>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</si>
  <si>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</si>
  <si>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</si>
  <si>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 xml:space="preserve">Физическая культура </t>
  </si>
  <si>
    <t>Межбюджетные трансферты бюджетам субьектов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</si>
  <si>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</si>
  <si>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</si>
  <si>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04</t>
  </si>
  <si>
    <t>08</t>
  </si>
  <si>
    <t>2015 год исполнение</t>
  </si>
  <si>
    <t>2016 год                  Оценка исполнения</t>
  </si>
  <si>
    <t>2017 год</t>
  </si>
  <si>
    <t>2018 год</t>
  </si>
  <si>
    <t>2019 год</t>
  </si>
  <si>
    <t>Дополнительное образование детей</t>
  </si>
  <si>
    <t>Резервные фонды</t>
  </si>
  <si>
    <t>Условно утверждаемые (утвержденные) расходы</t>
  </si>
  <si>
    <t>Сравнение 2017 год с 2015 годом %</t>
  </si>
  <si>
    <t>Сравнение 2017 год с 2016 годом %</t>
  </si>
  <si>
    <t>Сведения о расходах бюджета по разделам и подразделам классификации расходов на 2017 год в сравнении с ожидаемым исполнением за 2016 год (оценка текущего финансового года) и отчетом за 2015 год (отчетный финансовый год</t>
  </si>
  <si>
    <t>тыс.руб.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</si>
</sst>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0"/>
    <numFmt numFmtId="166" formatCode="_-* #,##0.0_р_._-;\-\ #,##0.0_р_._-;_-* &quot;-&quot;_р_._-;_-@_-"/>
    <numFmt numFmtId="167" formatCode="_-* #,##0.00_р_._-;\-\ #,##0.00_р_._-;_-* &quot;-&quot;_р_._-;_-@_-"/>
    <numFmt numFmtId="168" formatCode="0.0%"/>
  </numFmts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name val="Times New Roman CY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166" fontId="6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167" fontId="8" fillId="0" borderId="1" xfId="0" applyNumberFormat="1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166" fontId="13" fillId="0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165" fontId="15" fillId="0" borderId="1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0" fillId="0" borderId="1" xfId="0" applyFont="1" applyBorder="1"/>
    <xf numFmtId="166" fontId="12" fillId="0" borderId="1" xfId="2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/>
    </xf>
    <xf numFmtId="168" fontId="1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topLeftCell="A5" zoomScaleNormal="100" workbookViewId="0">
      <selection activeCell="A8" sqref="A8:XFD9"/>
    </sheetView>
  </sheetViews>
  <sheetFormatPr defaultRowHeight="15"/>
  <cols>
    <col min="1" max="1" width="43.85546875" customWidth="1"/>
    <col min="2" max="2" width="6" customWidth="1"/>
    <col min="3" max="3" width="5.85546875" customWidth="1"/>
    <col min="4" max="4" width="15" customWidth="1"/>
    <col min="5" max="5" width="14.140625" customWidth="1"/>
    <col min="6" max="6" width="14.28515625" customWidth="1"/>
    <col min="7" max="7" width="12.42578125" customWidth="1"/>
    <col min="8" max="8" width="12.85546875" customWidth="1"/>
    <col min="9" max="9" width="14.140625" customWidth="1"/>
    <col min="10" max="10" width="13.85546875" customWidth="1"/>
  </cols>
  <sheetData>
    <row r="2" spans="1:10" ht="39.75" customHeight="1">
      <c r="A2" s="38" t="s">
        <v>55</v>
      </c>
      <c r="B2" s="38"/>
      <c r="C2" s="38"/>
      <c r="D2" s="38"/>
      <c r="E2" s="38"/>
      <c r="F2" s="38"/>
      <c r="G2" s="38"/>
      <c r="H2" s="38"/>
      <c r="I2" s="38"/>
      <c r="J2" s="38"/>
    </row>
    <row r="4" spans="1:10">
      <c r="J4" t="s">
        <v>56</v>
      </c>
    </row>
    <row r="5" spans="1:10" ht="39.75" customHeight="1">
      <c r="A5" s="38" t="s">
        <v>55</v>
      </c>
      <c r="B5" s="38"/>
      <c r="C5" s="38"/>
      <c r="D5" s="38"/>
      <c r="E5" s="38"/>
      <c r="F5" s="38"/>
      <c r="G5" s="38"/>
      <c r="H5" s="38"/>
      <c r="I5" s="38"/>
      <c r="J5" s="38"/>
    </row>
    <row r="7" spans="1:10">
      <c r="J7" t="s">
        <v>56</v>
      </c>
    </row>
    <row r="8" spans="1:10" ht="57">
      <c r="A8" s="10" t="s">
        <v>0</v>
      </c>
      <c r="B8" s="10" t="s">
        <v>1</v>
      </c>
      <c r="C8" s="10" t="s">
        <v>2</v>
      </c>
      <c r="D8" s="34" t="s">
        <v>45</v>
      </c>
      <c r="E8" s="34" t="s">
        <v>46</v>
      </c>
      <c r="F8" s="11" t="s">
        <v>47</v>
      </c>
      <c r="G8" s="11" t="s">
        <v>53</v>
      </c>
      <c r="H8" s="11" t="s">
        <v>54</v>
      </c>
      <c r="I8" s="11" t="s">
        <v>48</v>
      </c>
      <c r="J8" s="11" t="s">
        <v>49</v>
      </c>
    </row>
    <row r="9" spans="1:10">
      <c r="A9" s="12" t="s">
        <v>3</v>
      </c>
      <c r="B9" s="12"/>
      <c r="C9" s="12"/>
      <c r="D9" s="35">
        <f>D11+D19+D22+D27+D34+D40+D47+D51+D56+D59+D62</f>
        <v>1944406.5999999996</v>
      </c>
      <c r="E9" s="35">
        <f>E11+E19+E22+E27+E34+E40+E47+E51+E56+E59+E62</f>
        <v>2480509.7999999998</v>
      </c>
      <c r="F9" s="35">
        <f>F11+F19+F22+F27+F34+F40+F47+F51+F56+F59+F62</f>
        <v>1540812.9000000001</v>
      </c>
      <c r="G9" s="37">
        <f>F9/D9</f>
        <v>0.7924334858768739</v>
      </c>
      <c r="H9" s="37">
        <f>F9/E9</f>
        <v>0.62116783412829102</v>
      </c>
      <c r="I9" s="35">
        <f t="shared" ref="I9:J9" si="0">I11+I19+I22+I27+I34+I40+I47+I51+I56+I59+I62</f>
        <v>1483674.5999999996</v>
      </c>
      <c r="J9" s="35">
        <f t="shared" si="0"/>
        <v>1510989.8000000003</v>
      </c>
    </row>
    <row r="10" spans="1:10">
      <c r="A10" s="13"/>
      <c r="B10" s="13"/>
      <c r="C10" s="13"/>
      <c r="D10" s="19"/>
      <c r="E10" s="31"/>
      <c r="F10" s="32"/>
      <c r="G10" s="36"/>
      <c r="H10" s="36"/>
      <c r="I10" s="32"/>
      <c r="J10" s="32"/>
    </row>
    <row r="11" spans="1:10">
      <c r="A11" s="14" t="s">
        <v>4</v>
      </c>
      <c r="B11" s="15">
        <v>1</v>
      </c>
      <c r="C11" s="15"/>
      <c r="D11" s="28">
        <v>195861.4</v>
      </c>
      <c r="E11" s="29">
        <v>172439.1</v>
      </c>
      <c r="F11" s="30">
        <f>SUM(F12:F17)</f>
        <v>166261</v>
      </c>
      <c r="G11" s="37">
        <f t="shared" ref="G11:G61" si="1">F11/D11</f>
        <v>0.84887068100197383</v>
      </c>
      <c r="H11" s="37">
        <f t="shared" ref="H11:H61" si="2">F11/E11</f>
        <v>0.96417227879291878</v>
      </c>
      <c r="I11" s="30">
        <f>SUM(I12:I17)</f>
        <v>159149.30000000002</v>
      </c>
      <c r="J11" s="30">
        <f>SUM(J12:J17)</f>
        <v>162263.30000000002</v>
      </c>
    </row>
    <row r="12" spans="1:10" ht="60">
      <c r="A12" s="16" t="s">
        <v>5</v>
      </c>
      <c r="B12" s="17">
        <v>1</v>
      </c>
      <c r="C12" s="17">
        <v>3</v>
      </c>
      <c r="D12" s="19">
        <v>479.4</v>
      </c>
      <c r="E12" s="31">
        <v>599.1</v>
      </c>
      <c r="F12" s="1">
        <v>500</v>
      </c>
      <c r="G12" s="36">
        <f t="shared" si="1"/>
        <v>1.0429703796412182</v>
      </c>
      <c r="H12" s="36">
        <f t="shared" si="2"/>
        <v>0.83458521115005835</v>
      </c>
      <c r="I12" s="2">
        <v>500</v>
      </c>
      <c r="J12" s="2">
        <v>500</v>
      </c>
    </row>
    <row r="13" spans="1:10" ht="57.75" customHeight="1">
      <c r="A13" s="16" t="s">
        <v>6</v>
      </c>
      <c r="B13" s="17">
        <v>1</v>
      </c>
      <c r="C13" s="17">
        <v>4</v>
      </c>
      <c r="D13" s="19">
        <v>90799.3</v>
      </c>
      <c r="E13" s="31">
        <v>92043</v>
      </c>
      <c r="F13" s="1">
        <f>150+200+97563.8-7835.3+47.8+100.8+70.6+671.6+70.7+50+700+235+100+17+33</f>
        <v>92175.000000000015</v>
      </c>
      <c r="G13" s="36">
        <f t="shared" si="1"/>
        <v>1.0151509978601159</v>
      </c>
      <c r="H13" s="36">
        <f t="shared" si="2"/>
        <v>1.0014341123170694</v>
      </c>
      <c r="I13" s="2">
        <f>150+150+96287.8-7835.3+47.8+100.8+70.6+671.6+70.7+50+400+100+17+33</f>
        <v>90314.000000000015</v>
      </c>
      <c r="J13" s="2">
        <f>150+150+96287.8-7835.3+47.8+100.8+70.6+671.6+70.7+50+400+100+17+33</f>
        <v>90314.000000000015</v>
      </c>
    </row>
    <row r="14" spans="1:10" ht="45" customHeight="1">
      <c r="A14" s="16" t="s">
        <v>7</v>
      </c>
      <c r="B14" s="17">
        <v>1</v>
      </c>
      <c r="C14" s="17">
        <v>6</v>
      </c>
      <c r="D14" s="19">
        <v>21929.200000000001</v>
      </c>
      <c r="E14" s="31">
        <v>21890</v>
      </c>
      <c r="F14" s="1">
        <f>19000+1157.1+2342.9+3+3+7</f>
        <v>22513</v>
      </c>
      <c r="G14" s="36">
        <f t="shared" si="1"/>
        <v>1.0266220381956477</v>
      </c>
      <c r="H14" s="36">
        <f t="shared" si="2"/>
        <v>1.0284604842393787</v>
      </c>
      <c r="I14" s="2">
        <f>19000+1157.1+2342.9+3+3+7</f>
        <v>22513</v>
      </c>
      <c r="J14" s="2">
        <f>19000+1157.1+2342.9+3+3+7</f>
        <v>22513</v>
      </c>
    </row>
    <row r="15" spans="1:10" ht="30">
      <c r="A15" s="16" t="s">
        <v>8</v>
      </c>
      <c r="B15" s="17">
        <v>1</v>
      </c>
      <c r="C15" s="17">
        <v>7</v>
      </c>
      <c r="D15" s="19">
        <v>4204.3999999999996</v>
      </c>
      <c r="E15" s="31">
        <v>63.4</v>
      </c>
      <c r="F15" s="32"/>
      <c r="G15" s="36">
        <f t="shared" si="1"/>
        <v>0</v>
      </c>
      <c r="H15" s="36">
        <f t="shared" si="2"/>
        <v>0</v>
      </c>
      <c r="I15" s="32"/>
      <c r="J15" s="32"/>
    </row>
    <row r="16" spans="1:10">
      <c r="A16" s="18" t="s">
        <v>51</v>
      </c>
      <c r="B16" s="17">
        <v>1</v>
      </c>
      <c r="C16" s="17">
        <v>11</v>
      </c>
      <c r="D16" s="19">
        <v>0</v>
      </c>
      <c r="E16" s="31">
        <v>0</v>
      </c>
      <c r="F16" s="1">
        <v>400</v>
      </c>
      <c r="G16" s="36">
        <v>0</v>
      </c>
      <c r="H16" s="36">
        <v>0</v>
      </c>
      <c r="I16" s="2">
        <v>400</v>
      </c>
      <c r="J16" s="2">
        <v>400</v>
      </c>
    </row>
    <row r="17" spans="1:10">
      <c r="A17" s="16" t="s">
        <v>9</v>
      </c>
      <c r="B17" s="17">
        <v>1</v>
      </c>
      <c r="C17" s="17">
        <v>13</v>
      </c>
      <c r="D17" s="19">
        <v>78449.100000000006</v>
      </c>
      <c r="E17" s="31">
        <v>57843.6</v>
      </c>
      <c r="F17" s="1">
        <f>50+2092+200+15915.7+4182.6+1400+80+20+26421.3+133.2+178.2</f>
        <v>50673</v>
      </c>
      <c r="G17" s="36">
        <f t="shared" si="1"/>
        <v>0.64593475259754407</v>
      </c>
      <c r="H17" s="36">
        <f t="shared" si="2"/>
        <v>0.87603468663776118</v>
      </c>
      <c r="I17" s="3">
        <f>2101.7+200+15915.7+4182.6+60+80+20+22550.9+133.2+178.2</f>
        <v>45422.299999999996</v>
      </c>
      <c r="J17" s="3">
        <f>2101.7+200+15915.7+4182.6+60+80+20+25664.9+133.2+178.2</f>
        <v>48536.299999999996</v>
      </c>
    </row>
    <row r="18" spans="1:10">
      <c r="A18" s="16"/>
      <c r="B18" s="17"/>
      <c r="C18" s="17"/>
      <c r="D18" s="19"/>
      <c r="E18" s="31"/>
      <c r="F18" s="32"/>
      <c r="G18" s="36"/>
      <c r="H18" s="36"/>
      <c r="I18" s="32"/>
      <c r="J18" s="32"/>
    </row>
    <row r="19" spans="1:10">
      <c r="A19" s="14" t="s">
        <v>10</v>
      </c>
      <c r="B19" s="15">
        <v>2</v>
      </c>
      <c r="C19" s="15"/>
      <c r="D19" s="28">
        <v>1166.9000000000001</v>
      </c>
      <c r="E19" s="29">
        <v>1154.4000000000001</v>
      </c>
      <c r="F19" s="4">
        <f>F20</f>
        <v>1157.3</v>
      </c>
      <c r="G19" s="37">
        <f t="shared" si="1"/>
        <v>0.99177307395663716</v>
      </c>
      <c r="H19" s="37">
        <f t="shared" si="2"/>
        <v>1.0025121275121274</v>
      </c>
      <c r="I19" s="4">
        <f>I20</f>
        <v>1157.3</v>
      </c>
      <c r="J19" s="4">
        <f>J20</f>
        <v>1157.3</v>
      </c>
    </row>
    <row r="20" spans="1:10">
      <c r="A20" s="16" t="s">
        <v>11</v>
      </c>
      <c r="B20" s="17">
        <v>2</v>
      </c>
      <c r="C20" s="17">
        <v>3</v>
      </c>
      <c r="D20" s="19">
        <v>1166.9000000000001</v>
      </c>
      <c r="E20" s="31">
        <v>1154.4000000000001</v>
      </c>
      <c r="F20" s="1">
        <v>1157.3</v>
      </c>
      <c r="G20" s="36">
        <f t="shared" si="1"/>
        <v>0.99177307395663716</v>
      </c>
      <c r="H20" s="36">
        <f t="shared" si="2"/>
        <v>1.0025121275121274</v>
      </c>
      <c r="I20" s="2">
        <v>1157.3</v>
      </c>
      <c r="J20" s="2">
        <v>1157.3</v>
      </c>
    </row>
    <row r="21" spans="1:10">
      <c r="A21" s="16"/>
      <c r="B21" s="17"/>
      <c r="C21" s="17"/>
      <c r="D21" s="19"/>
      <c r="E21" s="31"/>
      <c r="F21" s="1"/>
      <c r="G21" s="36"/>
      <c r="H21" s="36"/>
      <c r="I21" s="1"/>
      <c r="J21" s="1"/>
    </row>
    <row r="22" spans="1:10" ht="28.5">
      <c r="A22" s="14" t="s">
        <v>12</v>
      </c>
      <c r="B22" s="15">
        <v>3</v>
      </c>
      <c r="C22" s="15"/>
      <c r="D22" s="28">
        <v>13341.800000000001</v>
      </c>
      <c r="E22" s="29">
        <v>14252.9</v>
      </c>
      <c r="F22" s="4">
        <f>SUM(F23:F25)</f>
        <v>12942.5</v>
      </c>
      <c r="G22" s="37">
        <f t="shared" si="1"/>
        <v>0.97007150459458236</v>
      </c>
      <c r="H22" s="37">
        <f t="shared" si="2"/>
        <v>0.90806081569364838</v>
      </c>
      <c r="I22" s="4">
        <f>SUM(I23:I25)</f>
        <v>12540</v>
      </c>
      <c r="J22" s="4">
        <f>SUM(J23:J25)</f>
        <v>12540</v>
      </c>
    </row>
    <row r="23" spans="1:10">
      <c r="A23" s="16" t="s">
        <v>13</v>
      </c>
      <c r="B23" s="17">
        <v>3</v>
      </c>
      <c r="C23" s="17">
        <v>2</v>
      </c>
      <c r="D23" s="19">
        <v>893.2</v>
      </c>
      <c r="E23" s="31">
        <v>370</v>
      </c>
      <c r="F23" s="1">
        <f>29+40+70+40</f>
        <v>179</v>
      </c>
      <c r="G23" s="36">
        <f t="shared" si="1"/>
        <v>0.20040304523063143</v>
      </c>
      <c r="H23" s="36">
        <f t="shared" si="2"/>
        <v>0.48378378378378378</v>
      </c>
      <c r="I23" s="2">
        <f>40+70+40</f>
        <v>150</v>
      </c>
      <c r="J23" s="2">
        <f>40+70+40</f>
        <v>150</v>
      </c>
    </row>
    <row r="24" spans="1:10" ht="45">
      <c r="A24" s="20" t="s">
        <v>14</v>
      </c>
      <c r="B24" s="17">
        <v>3</v>
      </c>
      <c r="C24" s="17">
        <v>9</v>
      </c>
      <c r="D24" s="19">
        <v>12443.6</v>
      </c>
      <c r="E24" s="31">
        <v>12906.5</v>
      </c>
      <c r="F24" s="1">
        <f>12385</f>
        <v>12385</v>
      </c>
      <c r="G24" s="36">
        <f t="shared" si="1"/>
        <v>0.99529075187244842</v>
      </c>
      <c r="H24" s="36">
        <f t="shared" si="2"/>
        <v>0.95959400302173326</v>
      </c>
      <c r="I24" s="2">
        <v>12385</v>
      </c>
      <c r="J24" s="2">
        <v>12385</v>
      </c>
    </row>
    <row r="25" spans="1:10" ht="45">
      <c r="A25" s="20" t="s">
        <v>15</v>
      </c>
      <c r="B25" s="17">
        <v>3</v>
      </c>
      <c r="C25" s="17">
        <v>14</v>
      </c>
      <c r="D25" s="19">
        <v>5</v>
      </c>
      <c r="E25" s="31">
        <v>976.4</v>
      </c>
      <c r="F25" s="1">
        <f>5+373.5</f>
        <v>378.5</v>
      </c>
      <c r="G25" s="36">
        <f t="shared" si="1"/>
        <v>75.7</v>
      </c>
      <c r="H25" s="36">
        <f t="shared" si="2"/>
        <v>0.38764850471118395</v>
      </c>
      <c r="I25" s="2">
        <v>5</v>
      </c>
      <c r="J25" s="2">
        <v>5</v>
      </c>
    </row>
    <row r="26" spans="1:10">
      <c r="A26" s="16"/>
      <c r="B26" s="17"/>
      <c r="C26" s="17"/>
      <c r="D26" s="19"/>
      <c r="E26" s="31"/>
      <c r="F26" s="32"/>
      <c r="G26" s="36"/>
      <c r="H26" s="36"/>
      <c r="I26" s="32"/>
      <c r="J26" s="32"/>
    </row>
    <row r="27" spans="1:10">
      <c r="A27" s="14" t="s">
        <v>16</v>
      </c>
      <c r="B27" s="15">
        <v>4</v>
      </c>
      <c r="C27" s="15"/>
      <c r="D27" s="28">
        <v>51818.900000000009</v>
      </c>
      <c r="E27" s="29">
        <v>39935.199999999997</v>
      </c>
      <c r="F27" s="4">
        <f>SUM(F28:F32)</f>
        <v>37461.4</v>
      </c>
      <c r="G27" s="37">
        <f t="shared" si="1"/>
        <v>0.72292927869947055</v>
      </c>
      <c r="H27" s="37">
        <f t="shared" si="2"/>
        <v>0.93805464853061971</v>
      </c>
      <c r="I27" s="4">
        <f t="shared" ref="I27:J27" si="3">SUM(I28:I32)</f>
        <v>19159.8</v>
      </c>
      <c r="J27" s="4">
        <f t="shared" si="3"/>
        <v>19170.400000000001</v>
      </c>
    </row>
    <row r="28" spans="1:10">
      <c r="A28" s="21" t="s">
        <v>17</v>
      </c>
      <c r="B28" s="17">
        <v>4</v>
      </c>
      <c r="C28" s="17">
        <v>5</v>
      </c>
      <c r="D28" s="19">
        <v>430.9</v>
      </c>
      <c r="E28" s="31">
        <v>665</v>
      </c>
      <c r="F28" s="1">
        <v>120</v>
      </c>
      <c r="G28" s="36">
        <f t="shared" si="1"/>
        <v>0.27848688790902765</v>
      </c>
      <c r="H28" s="36">
        <f t="shared" si="2"/>
        <v>0.18045112781954886</v>
      </c>
      <c r="I28" s="2">
        <v>120</v>
      </c>
      <c r="J28" s="2">
        <v>120</v>
      </c>
    </row>
    <row r="29" spans="1:10">
      <c r="A29" s="21"/>
      <c r="B29" s="17">
        <v>4</v>
      </c>
      <c r="C29" s="17">
        <v>6</v>
      </c>
      <c r="D29" s="19">
        <v>2971.4</v>
      </c>
      <c r="E29" s="31">
        <v>0</v>
      </c>
      <c r="F29" s="32">
        <v>0</v>
      </c>
      <c r="G29" s="36">
        <f t="shared" si="1"/>
        <v>0</v>
      </c>
      <c r="H29" s="36">
        <v>0</v>
      </c>
      <c r="I29" s="32">
        <v>0</v>
      </c>
      <c r="J29" s="32">
        <v>0</v>
      </c>
    </row>
    <row r="30" spans="1:10">
      <c r="A30" s="16" t="s">
        <v>18</v>
      </c>
      <c r="B30" s="17" t="s">
        <v>43</v>
      </c>
      <c r="C30" s="17" t="s">
        <v>44</v>
      </c>
      <c r="D30" s="19">
        <v>1814.5</v>
      </c>
      <c r="E30" s="31">
        <v>1701.6</v>
      </c>
      <c r="F30" s="1">
        <f>300</f>
        <v>300</v>
      </c>
      <c r="G30" s="36">
        <f t="shared" si="1"/>
        <v>0.16533480297602646</v>
      </c>
      <c r="H30" s="36">
        <f t="shared" si="2"/>
        <v>0.1763046544428773</v>
      </c>
      <c r="I30" s="2">
        <v>300</v>
      </c>
      <c r="J30" s="2">
        <v>300</v>
      </c>
    </row>
    <row r="31" spans="1:10">
      <c r="A31" s="16" t="s">
        <v>19</v>
      </c>
      <c r="B31" s="17">
        <v>4</v>
      </c>
      <c r="C31" s="17">
        <v>9</v>
      </c>
      <c r="D31" s="19">
        <v>34647.300000000003</v>
      </c>
      <c r="E31" s="31">
        <v>28079.4</v>
      </c>
      <c r="F31" s="1">
        <f>921.4+2520.9+582.2+239.3+958.9+13616.2+2311.2+4450</f>
        <v>25600.100000000002</v>
      </c>
      <c r="G31" s="36">
        <f t="shared" si="1"/>
        <v>0.73887719966635201</v>
      </c>
      <c r="H31" s="36">
        <f t="shared" si="2"/>
        <v>0.91170395378818636</v>
      </c>
      <c r="I31" s="2">
        <f>921.4+582.2+239.3+958.9+2311.2+4450</f>
        <v>9463</v>
      </c>
      <c r="J31" s="2">
        <f>921.4+582.2+239.3+958.9+2313.2+4450</f>
        <v>9465</v>
      </c>
    </row>
    <row r="32" spans="1:10" ht="30">
      <c r="A32" s="16" t="s">
        <v>20</v>
      </c>
      <c r="B32" s="17">
        <v>4</v>
      </c>
      <c r="C32" s="17">
        <v>12</v>
      </c>
      <c r="D32" s="19">
        <v>11954.8</v>
      </c>
      <c r="E32" s="31">
        <v>9489.2000000000007</v>
      </c>
      <c r="F32" s="1">
        <f>1857+530+3568.4+1000+4485.9</f>
        <v>11441.3</v>
      </c>
      <c r="G32" s="36">
        <f t="shared" si="1"/>
        <v>0.95704654197477168</v>
      </c>
      <c r="H32" s="36">
        <f t="shared" si="2"/>
        <v>1.2057180795009061</v>
      </c>
      <c r="I32" s="2">
        <f>1857+3568.4+3851.4</f>
        <v>9276.7999999999993</v>
      </c>
      <c r="J32" s="2">
        <f>1857+3568.4+3860</f>
        <v>9285.4</v>
      </c>
    </row>
    <row r="33" spans="1:10">
      <c r="A33" s="16"/>
      <c r="B33" s="17"/>
      <c r="C33" s="17"/>
      <c r="D33" s="19"/>
      <c r="E33" s="31"/>
      <c r="F33" s="1"/>
      <c r="G33" s="36"/>
      <c r="H33" s="36"/>
      <c r="I33" s="1"/>
      <c r="J33" s="1"/>
    </row>
    <row r="34" spans="1:10">
      <c r="A34" s="14" t="s">
        <v>21</v>
      </c>
      <c r="B34" s="15">
        <v>5</v>
      </c>
      <c r="C34" s="15"/>
      <c r="D34" s="28">
        <v>337975.29999999993</v>
      </c>
      <c r="E34" s="29">
        <v>928152.7</v>
      </c>
      <c r="F34" s="4">
        <f>SUM(F35:F38)</f>
        <v>59760.700000000004</v>
      </c>
      <c r="G34" s="37">
        <f t="shared" si="1"/>
        <v>0.17681972617525604</v>
      </c>
      <c r="H34" s="37">
        <f t="shared" si="2"/>
        <v>6.4386711367644581E-2</v>
      </c>
      <c r="I34" s="4">
        <f>SUM(I35:I38)</f>
        <v>27735.7</v>
      </c>
      <c r="J34" s="4">
        <f>SUM(J35:J38)</f>
        <v>27735.7</v>
      </c>
    </row>
    <row r="35" spans="1:10">
      <c r="A35" s="16" t="s">
        <v>22</v>
      </c>
      <c r="B35" s="17">
        <v>5</v>
      </c>
      <c r="C35" s="17">
        <v>1</v>
      </c>
      <c r="D35" s="19">
        <v>226808.8</v>
      </c>
      <c r="E35" s="31">
        <v>853089.4</v>
      </c>
      <c r="F35" s="1">
        <f>9734+150+3734.7+24384.4+300</f>
        <v>38303.100000000006</v>
      </c>
      <c r="G35" s="36">
        <f t="shared" si="1"/>
        <v>0.16887836803510273</v>
      </c>
      <c r="H35" s="36">
        <f t="shared" si="2"/>
        <v>4.4899280192673835E-2</v>
      </c>
      <c r="I35" s="2">
        <f>4830+500</f>
        <v>5330</v>
      </c>
      <c r="J35" s="2">
        <f>4830+500</f>
        <v>5330</v>
      </c>
    </row>
    <row r="36" spans="1:10">
      <c r="A36" s="16" t="s">
        <v>23</v>
      </c>
      <c r="B36" s="17">
        <v>5</v>
      </c>
      <c r="C36" s="17">
        <v>2</v>
      </c>
      <c r="D36" s="19">
        <v>97405.9</v>
      </c>
      <c r="E36" s="31">
        <v>58646.2</v>
      </c>
      <c r="F36" s="1">
        <f>10000+780</f>
        <v>10780</v>
      </c>
      <c r="G36" s="36">
        <f t="shared" si="1"/>
        <v>0.11067091418486971</v>
      </c>
      <c r="H36" s="36">
        <f t="shared" si="2"/>
        <v>0.18381412606443384</v>
      </c>
      <c r="I36" s="2">
        <f>11830</f>
        <v>11830</v>
      </c>
      <c r="J36" s="2">
        <f>11830</f>
        <v>11830</v>
      </c>
    </row>
    <row r="37" spans="1:10">
      <c r="A37" s="16" t="s">
        <v>24</v>
      </c>
      <c r="B37" s="17">
        <v>5</v>
      </c>
      <c r="C37" s="17">
        <v>3</v>
      </c>
      <c r="D37" s="19">
        <v>1985</v>
      </c>
      <c r="E37" s="31">
        <v>6085.3</v>
      </c>
      <c r="F37" s="1">
        <f>631.2</f>
        <v>631.20000000000005</v>
      </c>
      <c r="G37" s="36">
        <f t="shared" si="1"/>
        <v>0.31798488664987407</v>
      </c>
      <c r="H37" s="36">
        <f t="shared" si="2"/>
        <v>0.10372537097595846</v>
      </c>
      <c r="I37" s="2">
        <v>631.20000000000005</v>
      </c>
      <c r="J37" s="2">
        <v>631.20000000000005</v>
      </c>
    </row>
    <row r="38" spans="1:10" ht="30">
      <c r="A38" s="22" t="s">
        <v>25</v>
      </c>
      <c r="B38" s="17">
        <v>5</v>
      </c>
      <c r="C38" s="17">
        <v>5</v>
      </c>
      <c r="D38" s="19">
        <v>11775.6</v>
      </c>
      <c r="E38" s="31">
        <v>10331.799999999999</v>
      </c>
      <c r="F38" s="1">
        <f>10046.4</f>
        <v>10046.4</v>
      </c>
      <c r="G38" s="36">
        <f t="shared" si="1"/>
        <v>0.85315397941506155</v>
      </c>
      <c r="H38" s="36">
        <f t="shared" si="2"/>
        <v>0.97237654619717773</v>
      </c>
      <c r="I38" s="2">
        <v>9944.5</v>
      </c>
      <c r="J38" s="2">
        <v>9944.5</v>
      </c>
    </row>
    <row r="39" spans="1:10">
      <c r="A39" s="16"/>
      <c r="B39" s="17"/>
      <c r="C39" s="17"/>
      <c r="D39" s="19"/>
      <c r="E39" s="31"/>
      <c r="F39" s="32"/>
      <c r="G39" s="36"/>
      <c r="H39" s="36"/>
      <c r="I39" s="32"/>
      <c r="J39" s="32"/>
    </row>
    <row r="40" spans="1:10">
      <c r="A40" s="14" t="s">
        <v>26</v>
      </c>
      <c r="B40" s="15">
        <v>7</v>
      </c>
      <c r="C40" s="15"/>
      <c r="D40" s="28">
        <v>1140019.0999999999</v>
      </c>
      <c r="E40" s="29">
        <v>1096868.7</v>
      </c>
      <c r="F40" s="4">
        <f>SUM(F41:F45)</f>
        <v>1061745.7000000002</v>
      </c>
      <c r="G40" s="37">
        <f t="shared" si="1"/>
        <v>0.93134027315858159</v>
      </c>
      <c r="H40" s="37">
        <f t="shared" si="2"/>
        <v>0.96797884742266804</v>
      </c>
      <c r="I40" s="4">
        <f>SUM(I41:I45)</f>
        <v>1037937.1999999998</v>
      </c>
      <c r="J40" s="4">
        <f>SUM(J41:J45)</f>
        <v>1042273.5000000001</v>
      </c>
    </row>
    <row r="41" spans="1:10">
      <c r="A41" s="16" t="s">
        <v>27</v>
      </c>
      <c r="B41" s="17">
        <v>7</v>
      </c>
      <c r="C41" s="17">
        <v>1</v>
      </c>
      <c r="D41" s="19">
        <v>381628</v>
      </c>
      <c r="E41" s="31">
        <v>379107.9</v>
      </c>
      <c r="F41" s="1">
        <f>71322.7+279910.9+1206</f>
        <v>352439.60000000003</v>
      </c>
      <c r="G41" s="36">
        <f t="shared" si="1"/>
        <v>0.92351609420692415</v>
      </c>
      <c r="H41" s="36">
        <f t="shared" si="2"/>
        <v>0.92965511929453337</v>
      </c>
      <c r="I41" s="2">
        <f>63044.6+281124.8</f>
        <v>344169.39999999997</v>
      </c>
      <c r="J41" s="2">
        <f>64518.8+281124.8</f>
        <v>345643.6</v>
      </c>
    </row>
    <row r="42" spans="1:10">
      <c r="A42" s="16" t="s">
        <v>28</v>
      </c>
      <c r="B42" s="17">
        <v>7</v>
      </c>
      <c r="C42" s="17">
        <v>2</v>
      </c>
      <c r="D42" s="19">
        <v>690180.3</v>
      </c>
      <c r="E42" s="31">
        <v>651768.5</v>
      </c>
      <c r="F42" s="1">
        <f>102758.6+429689.8+3164.1+19870.3+200.7</f>
        <v>555683.5</v>
      </c>
      <c r="G42" s="36">
        <f t="shared" si="1"/>
        <v>0.80512802234430625</v>
      </c>
      <c r="H42" s="36">
        <f t="shared" si="2"/>
        <v>0.8525780242524762</v>
      </c>
      <c r="I42" s="2">
        <f>96033.4+425923.3+20719.3+209.3</f>
        <v>542885.30000000005</v>
      </c>
      <c r="J42" s="2">
        <f>97152.7+425923.3+21476.4+216.9</f>
        <v>544769.30000000005</v>
      </c>
    </row>
    <row r="43" spans="1:10">
      <c r="A43" s="23" t="s">
        <v>50</v>
      </c>
      <c r="B43" s="17">
        <v>7</v>
      </c>
      <c r="C43" s="17">
        <v>3</v>
      </c>
      <c r="D43" s="19">
        <v>0</v>
      </c>
      <c r="E43" s="31">
        <v>0</v>
      </c>
      <c r="F43" s="1">
        <f>26410.8+50+21557+40564.2</f>
        <v>88582</v>
      </c>
      <c r="G43" s="36">
        <v>0</v>
      </c>
      <c r="H43" s="36">
        <v>0</v>
      </c>
      <c r="I43" s="2">
        <f>26049.2+50+1366.5+18335.3+40564.2</f>
        <v>86365.2</v>
      </c>
      <c r="J43" s="2">
        <f>26169.3+50+20048+40564.2</f>
        <v>86831.5</v>
      </c>
    </row>
    <row r="44" spans="1:10">
      <c r="A44" s="16" t="s">
        <v>29</v>
      </c>
      <c r="B44" s="17">
        <v>7</v>
      </c>
      <c r="C44" s="17">
        <v>7</v>
      </c>
      <c r="D44" s="19">
        <v>8906.9</v>
      </c>
      <c r="E44" s="31">
        <v>7323.8</v>
      </c>
      <c r="F44" s="1">
        <f>500+100+150+5415.6+300.7</f>
        <v>6466.3</v>
      </c>
      <c r="G44" s="36">
        <f t="shared" si="1"/>
        <v>0.72598771738764334</v>
      </c>
      <c r="H44" s="36">
        <f t="shared" si="2"/>
        <v>0.88291597258253918</v>
      </c>
      <c r="I44" s="2">
        <f>500+250+5648.5+300.7</f>
        <v>6699.2</v>
      </c>
      <c r="J44" s="2">
        <f>500+250+5784.1+300.7</f>
        <v>6834.8</v>
      </c>
    </row>
    <row r="45" spans="1:10">
      <c r="A45" s="16" t="s">
        <v>30</v>
      </c>
      <c r="B45" s="17">
        <v>7</v>
      </c>
      <c r="C45" s="17">
        <v>9</v>
      </c>
      <c r="D45" s="19">
        <v>59303.9</v>
      </c>
      <c r="E45" s="31">
        <v>58668.5</v>
      </c>
      <c r="F45" s="1">
        <v>58574.3</v>
      </c>
      <c r="G45" s="36">
        <f t="shared" si="1"/>
        <v>0.987697267801949</v>
      </c>
      <c r="H45" s="36">
        <f t="shared" si="2"/>
        <v>0.99839436835780704</v>
      </c>
      <c r="I45" s="2">
        <f>57818.1</f>
        <v>57818.1</v>
      </c>
      <c r="J45" s="2">
        <v>58194.3</v>
      </c>
    </row>
    <row r="46" spans="1:10">
      <c r="A46" s="16"/>
      <c r="B46" s="17"/>
      <c r="C46" s="17"/>
      <c r="D46" s="19"/>
      <c r="E46" s="31"/>
      <c r="F46" s="1"/>
      <c r="G46" s="36"/>
      <c r="H46" s="36"/>
      <c r="I46" s="1"/>
      <c r="J46" s="1"/>
    </row>
    <row r="47" spans="1:10">
      <c r="A47" s="14" t="s">
        <v>31</v>
      </c>
      <c r="B47" s="15">
        <v>8</v>
      </c>
      <c r="C47" s="15"/>
      <c r="D47" s="28">
        <v>99221.9</v>
      </c>
      <c r="E47" s="29">
        <v>102394.8</v>
      </c>
      <c r="F47" s="4">
        <f>SUM(F48:F49)</f>
        <v>97983</v>
      </c>
      <c r="G47" s="37">
        <f t="shared" si="1"/>
        <v>0.98751384522973262</v>
      </c>
      <c r="H47" s="37">
        <f t="shared" si="2"/>
        <v>0.95691382765531063</v>
      </c>
      <c r="I47" s="4">
        <f>SUM(I48:I49)</f>
        <v>91345.5</v>
      </c>
      <c r="J47" s="4">
        <f>SUM(J48:J49)</f>
        <v>92545.9</v>
      </c>
    </row>
    <row r="48" spans="1:10">
      <c r="A48" s="16" t="s">
        <v>32</v>
      </c>
      <c r="B48" s="17">
        <v>8</v>
      </c>
      <c r="C48" s="17">
        <v>1</v>
      </c>
      <c r="D48" s="19">
        <v>70417.3</v>
      </c>
      <c r="E48" s="31">
        <v>70367.399999999994</v>
      </c>
      <c r="F48" s="1">
        <f>28008.2+102.4+99.6+40626.1</f>
        <v>68836.3</v>
      </c>
      <c r="G48" s="36">
        <f t="shared" si="1"/>
        <v>0.97754813092805315</v>
      </c>
      <c r="H48" s="36">
        <f t="shared" si="2"/>
        <v>0.97824134471360324</v>
      </c>
      <c r="I48" s="2">
        <f>255+25283.7+102.4+99.6+583.9+37107.3</f>
        <v>63431.900000000009</v>
      </c>
      <c r="J48" s="2">
        <f>255+25944.9+102.4+99.6+37928.2</f>
        <v>64330.1</v>
      </c>
    </row>
    <row r="49" spans="1:10" ht="30">
      <c r="A49" s="16" t="s">
        <v>33</v>
      </c>
      <c r="B49" s="17">
        <v>8</v>
      </c>
      <c r="C49" s="17">
        <v>4</v>
      </c>
      <c r="D49" s="19">
        <v>28804.6</v>
      </c>
      <c r="E49" s="31">
        <v>32027.4</v>
      </c>
      <c r="F49" s="1">
        <f>20+7180.7+21946</f>
        <v>29146.7</v>
      </c>
      <c r="G49" s="36">
        <f t="shared" si="1"/>
        <v>1.0118765752692278</v>
      </c>
      <c r="H49" s="36">
        <f t="shared" si="2"/>
        <v>0.91005514028612999</v>
      </c>
      <c r="I49" s="2">
        <f>20+6562.4+21331.2</f>
        <v>27913.599999999999</v>
      </c>
      <c r="J49" s="2">
        <f>20+6731.1+21464.7</f>
        <v>28215.800000000003</v>
      </c>
    </row>
    <row r="50" spans="1:10">
      <c r="A50" s="16"/>
      <c r="B50" s="17"/>
      <c r="C50" s="17"/>
      <c r="D50" s="19"/>
      <c r="E50" s="31"/>
      <c r="F50" s="1"/>
      <c r="G50" s="36"/>
      <c r="H50" s="36"/>
      <c r="I50" s="1"/>
      <c r="J50" s="1"/>
    </row>
    <row r="51" spans="1:10">
      <c r="A51" s="14" t="s">
        <v>34</v>
      </c>
      <c r="B51" s="15">
        <v>10</v>
      </c>
      <c r="C51" s="15"/>
      <c r="D51" s="28">
        <v>55557.4</v>
      </c>
      <c r="E51" s="29">
        <v>79211</v>
      </c>
      <c r="F51" s="4">
        <f>SUM(F52:F54)</f>
        <v>55378.1</v>
      </c>
      <c r="G51" s="37">
        <f t="shared" si="1"/>
        <v>0.99677270714612265</v>
      </c>
      <c r="H51" s="37">
        <f t="shared" si="2"/>
        <v>0.6991213341581346</v>
      </c>
      <c r="I51" s="4">
        <f>SUM(I52:I54)</f>
        <v>55684.9</v>
      </c>
      <c r="J51" s="4">
        <f>SUM(J52:J54)</f>
        <v>56247.600000000006</v>
      </c>
    </row>
    <row r="52" spans="1:10">
      <c r="A52" s="16" t="s">
        <v>35</v>
      </c>
      <c r="B52" s="17">
        <v>10</v>
      </c>
      <c r="C52" s="17">
        <v>1</v>
      </c>
      <c r="D52" s="19">
        <v>7197.4</v>
      </c>
      <c r="E52" s="31">
        <v>7567</v>
      </c>
      <c r="F52" s="1">
        <f>7835.3</f>
        <v>7835.3</v>
      </c>
      <c r="G52" s="36">
        <f t="shared" si="1"/>
        <v>1.088629227220941</v>
      </c>
      <c r="H52" s="36">
        <f t="shared" si="2"/>
        <v>1.0354565878155149</v>
      </c>
      <c r="I52" s="2">
        <v>7835.3</v>
      </c>
      <c r="J52" s="2">
        <v>7835.3</v>
      </c>
    </row>
    <row r="53" spans="1:10">
      <c r="A53" s="20" t="s">
        <v>36</v>
      </c>
      <c r="B53" s="17">
        <v>10</v>
      </c>
      <c r="C53" s="17">
        <v>3</v>
      </c>
      <c r="D53" s="19">
        <v>12303.6</v>
      </c>
      <c r="E53" s="31">
        <v>16364.3</v>
      </c>
      <c r="F53" s="1">
        <f>1840+18.7+4052+135+1466.1+1100+1124.1+607.2</f>
        <v>10343.1</v>
      </c>
      <c r="G53" s="36">
        <f t="shared" si="1"/>
        <v>0.84065639325075592</v>
      </c>
      <c r="H53" s="36">
        <f t="shared" si="2"/>
        <v>0.63205270008494108</v>
      </c>
      <c r="I53" s="2">
        <f>1840+18.7+4052+135+1466.1+700+1124.1+607.2</f>
        <v>9943.1</v>
      </c>
      <c r="J53" s="2">
        <f>1840+18.7+4052+135+1466.1+700+1124.1+607.2</f>
        <v>9943.1</v>
      </c>
    </row>
    <row r="54" spans="1:10">
      <c r="A54" s="20" t="s">
        <v>37</v>
      </c>
      <c r="B54" s="17">
        <v>10</v>
      </c>
      <c r="C54" s="17">
        <v>4</v>
      </c>
      <c r="D54" s="19">
        <v>36056.400000000001</v>
      </c>
      <c r="E54" s="31">
        <v>55279.7</v>
      </c>
      <c r="F54" s="1">
        <f>22273.3+2800.2+12126.2</f>
        <v>37199.699999999997</v>
      </c>
      <c r="G54" s="36">
        <f t="shared" si="1"/>
        <v>1.0317086564382467</v>
      </c>
      <c r="H54" s="36">
        <f t="shared" si="2"/>
        <v>0.67293599639650725</v>
      </c>
      <c r="I54" s="2">
        <f>23645.7+2926.2+11334.6</f>
        <v>37906.5</v>
      </c>
      <c r="J54" s="2">
        <f>24091.4+3043.2+11334.6</f>
        <v>38469.200000000004</v>
      </c>
    </row>
    <row r="55" spans="1:10">
      <c r="A55" s="16"/>
      <c r="B55" s="17"/>
      <c r="C55" s="17"/>
      <c r="D55" s="19"/>
      <c r="E55" s="31"/>
      <c r="F55" s="1"/>
      <c r="G55" s="36"/>
      <c r="H55" s="36"/>
      <c r="I55" s="1"/>
      <c r="J55" s="1"/>
    </row>
    <row r="56" spans="1:10">
      <c r="A56" s="14" t="s">
        <v>38</v>
      </c>
      <c r="B56" s="24">
        <v>11</v>
      </c>
      <c r="C56" s="17"/>
      <c r="D56" s="28">
        <v>18568.5</v>
      </c>
      <c r="E56" s="29">
        <v>18735</v>
      </c>
      <c r="F56" s="5">
        <f>F57</f>
        <v>22894</v>
      </c>
      <c r="G56" s="37">
        <f t="shared" si="1"/>
        <v>1.2329482726122196</v>
      </c>
      <c r="H56" s="37">
        <f t="shared" si="2"/>
        <v>1.2219909260741928</v>
      </c>
      <c r="I56" s="5">
        <f>I57</f>
        <v>17700</v>
      </c>
      <c r="J56" s="5">
        <f>J57</f>
        <v>17700</v>
      </c>
    </row>
    <row r="57" spans="1:10">
      <c r="A57" s="16" t="s">
        <v>39</v>
      </c>
      <c r="B57" s="25">
        <v>11</v>
      </c>
      <c r="C57" s="25">
        <v>1</v>
      </c>
      <c r="D57" s="19">
        <v>18568.5</v>
      </c>
      <c r="E57" s="31">
        <v>18735</v>
      </c>
      <c r="F57" s="6">
        <f>4500+16000+2000+250+144</f>
        <v>22894</v>
      </c>
      <c r="G57" s="36">
        <f t="shared" si="1"/>
        <v>1.2329482726122196</v>
      </c>
      <c r="H57" s="36">
        <f t="shared" si="2"/>
        <v>1.2219909260741928</v>
      </c>
      <c r="I57" s="7">
        <f>16000+1700</f>
        <v>17700</v>
      </c>
      <c r="J57" s="7">
        <f>16000+1700</f>
        <v>17700</v>
      </c>
    </row>
    <row r="58" spans="1:10">
      <c r="A58" s="16"/>
      <c r="B58" s="25"/>
      <c r="C58" s="25"/>
      <c r="D58" s="19"/>
      <c r="E58" s="31"/>
      <c r="F58" s="1"/>
      <c r="G58" s="36"/>
      <c r="H58" s="36"/>
      <c r="I58" s="2"/>
      <c r="J58" s="2"/>
    </row>
    <row r="59" spans="1:10" ht="57">
      <c r="A59" s="14" t="s">
        <v>40</v>
      </c>
      <c r="B59" s="24">
        <v>14</v>
      </c>
      <c r="C59" s="17"/>
      <c r="D59" s="28">
        <v>30875.4</v>
      </c>
      <c r="E59" s="29">
        <v>27366</v>
      </c>
      <c r="F59" s="5">
        <f>SUM(F60:F61)</f>
        <v>25229.200000000001</v>
      </c>
      <c r="G59" s="37">
        <f t="shared" si="1"/>
        <v>0.8171294946786114</v>
      </c>
      <c r="H59" s="37">
        <f t="shared" si="2"/>
        <v>0.92191770810494778</v>
      </c>
      <c r="I59" s="5">
        <f>SUM(I60:I61)</f>
        <v>23691.899999999998</v>
      </c>
      <c r="J59" s="5">
        <f>SUM(J60:J61)</f>
        <v>22903.100000000002</v>
      </c>
    </row>
    <row r="60" spans="1:10" ht="45">
      <c r="A60" s="16" t="s">
        <v>41</v>
      </c>
      <c r="B60" s="25">
        <v>14</v>
      </c>
      <c r="C60" s="17">
        <v>1</v>
      </c>
      <c r="D60" s="19">
        <v>6068.4</v>
      </c>
      <c r="E60" s="31">
        <v>5850</v>
      </c>
      <c r="F60" s="6">
        <f>1621.7+3400.1</f>
        <v>5021.8</v>
      </c>
      <c r="G60" s="36">
        <f t="shared" si="1"/>
        <v>0.82753279282842274</v>
      </c>
      <c r="H60" s="36">
        <f t="shared" si="2"/>
        <v>0.85842735042735041</v>
      </c>
      <c r="I60" s="7">
        <f>1600.3+3500</f>
        <v>5100.3</v>
      </c>
      <c r="J60" s="7">
        <f>1578.7+3400</f>
        <v>4978.7</v>
      </c>
    </row>
    <row r="61" spans="1:10">
      <c r="A61" s="16" t="s">
        <v>42</v>
      </c>
      <c r="B61" s="17">
        <v>14</v>
      </c>
      <c r="C61" s="17">
        <v>2</v>
      </c>
      <c r="D61" s="19">
        <v>24807</v>
      </c>
      <c r="E61" s="31">
        <v>21516</v>
      </c>
      <c r="F61" s="1">
        <v>20207.400000000001</v>
      </c>
      <c r="G61" s="36">
        <f t="shared" si="1"/>
        <v>0.81458459305841102</v>
      </c>
      <c r="H61" s="36">
        <f t="shared" si="2"/>
        <v>0.93918014500836589</v>
      </c>
      <c r="I61" s="2">
        <v>18591.599999999999</v>
      </c>
      <c r="J61" s="2">
        <v>17924.400000000001</v>
      </c>
    </row>
    <row r="62" spans="1:10" ht="28.5">
      <c r="A62" s="26" t="s">
        <v>52</v>
      </c>
      <c r="B62" s="27"/>
      <c r="C62" s="27"/>
      <c r="D62" s="33"/>
      <c r="E62" s="33"/>
      <c r="F62" s="8">
        <v>0</v>
      </c>
      <c r="G62" s="36"/>
      <c r="H62" s="36"/>
      <c r="I62" s="9">
        <v>37573</v>
      </c>
      <c r="J62" s="9">
        <v>56453</v>
      </c>
    </row>
  </sheetData>
  <mergeCells count="2">
    <mergeCell ref="A2:J2"/>
    <mergeCell ref="A5:J5"/>
  </mergeCells>
  <pageMargins left="0.11811023622047245" right="0" top="0" bottom="0" header="0" footer="0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2016-12-28T08:52:21Z</cp:lastPrinted>
  <dcterms:created xsi:type="dcterms:W3CDTF">2016-12-28T08:24:47Z</dcterms:created>
  <dcterms:modified xsi:type="dcterms:W3CDTF">2016-12-28T08:53:34Z</dcterms:modified>
</cp:coreProperties>
</file>